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ordlbcorporate-my.sharepoint.com/personal/hamoon_fatah_nordlb_de/Documents/Desktop/Neuer Ordner/"/>
    </mc:Choice>
  </mc:AlternateContent>
  <xr:revisionPtr revIDLastSave="38" documentId="8_{6B62AB5C-BC45-4F84-8B32-1177F9C69FE8}" xr6:coauthVersionLast="47" xr6:coauthVersionMax="47" xr10:uidLastSave="{1344D684-CC38-4AF6-AE5B-C66856A24EC7}"/>
  <workbookProtection workbookAlgorithmName="SHA-512" workbookHashValue="agdvo3Lcx0SIdffkB4ZzHhRV5aC38eDkmEdDpfA2VmXq/WeKa3aW8YkoSFtBWFe0B1BrQqkbHph5ov7XIb68RA==" workbookSaltValue="zvsO4oJvJKC2ABJq2XoXFg==" workbookSpinCount="100000" lockStructure="1"/>
  <bookViews>
    <workbookView xWindow="-120" yWindow="-120" windowWidth="38640" windowHeight="21120" tabRatio="844" xr2:uid="{2D335B04-3649-4C36-8E86-E1E38C3AB00D}"/>
  </bookViews>
  <sheets>
    <sheet name="Einfache U'Bewertung &gt;" sheetId="5" r:id="rId1"/>
    <sheet name="1. Annahmen" sheetId="14" r:id="rId2"/>
    <sheet name="2. Vereinfachtes_EWV" sheetId="15" r:id="rId3"/>
    <sheet name="3. Management Summary" sheetId="16" r:id="rId4"/>
    <sheet name="Erweiterte U'Bewertung &gt;" sheetId="13" r:id="rId5"/>
    <sheet name="1. Datencheck" sheetId="10" r:id="rId6"/>
    <sheet name="2. Input_Allgemein" sheetId="1" r:id="rId7"/>
    <sheet name="3. Input_Historie" sheetId="21" r:id="rId8"/>
    <sheet name="4. Input_Plan" sheetId="22" r:id="rId9"/>
    <sheet name="Slides" sheetId="9" state="hidden" r:id="rId10"/>
    <sheet name="Ergebnis" sheetId="6" r:id="rId11"/>
    <sheet name="(AUSBLENDEN) Kalkulation &gt;" sheetId="23" state="hidden" r:id="rId12"/>
    <sheet name="(AUSBLENDEN) Bewertung" sheetId="4" state="hidden" r:id="rId13"/>
    <sheet name="(AUSBLENDEN) Plausibilisierung" sheetId="25" state="hidden" r:id="rId14"/>
    <sheet name="Technical" sheetId="3" state="hidden" r:id="rId15"/>
    <sheet name="1. Datencheck FULL" sheetId="24" state="hidden" r:id="rId16"/>
  </sheets>
  <definedNames>
    <definedName name="_xlnm.Print_Area" localSheetId="1">'1. Annahmen'!$A$1:$P$30</definedName>
    <definedName name="_xlnm.Print_Area" localSheetId="6">'2. Input_Allgemein'!$A$1:$Q$61</definedName>
    <definedName name="_xlnm.Print_Area" localSheetId="2">'2. Vereinfachtes_EWV'!$A$19:$O$122</definedName>
    <definedName name="_xlnm.Print_Area" localSheetId="7">'3. Input_Historie'!$A$1:$V$20</definedName>
    <definedName name="_xlnm.Print_Area" localSheetId="3">'3. Management Summary'!$A$1:$U$57</definedName>
    <definedName name="_xlnm.Print_Area" localSheetId="8">'4. Input_Plan'!$A$1:$P$20</definedName>
  </definedNames>
  <calcPr calcId="191029" iterate="1" iterateCount="10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0" i="22" l="1"/>
  <c r="J27" i="21" l="1"/>
  <c r="I27" i="21"/>
  <c r="H27" i="21"/>
  <c r="I67" i="15"/>
  <c r="H67" i="15"/>
  <c r="G67" i="15"/>
  <c r="C15" i="13"/>
  <c r="C17" i="13" s="1"/>
  <c r="E26" i="1"/>
  <c r="T10" i="14"/>
  <c r="K114" i="22"/>
  <c r="L114" i="22" s="1"/>
  <c r="M114" i="22" s="1"/>
  <c r="N114" i="22" s="1"/>
  <c r="O114" i="22" s="1"/>
  <c r="K113" i="22"/>
  <c r="L113" i="22" s="1"/>
  <c r="M113" i="22" s="1"/>
  <c r="N113" i="22" s="1"/>
  <c r="O113" i="22" s="1"/>
  <c r="K112" i="22"/>
  <c r="L112" i="22" s="1"/>
  <c r="M112" i="22" s="1"/>
  <c r="N112" i="22" s="1"/>
  <c r="O112" i="22" s="1"/>
  <c r="K83" i="22"/>
  <c r="L83" i="22" s="1"/>
  <c r="M83" i="22" s="1"/>
  <c r="N83" i="22" s="1"/>
  <c r="O83" i="22" s="1"/>
  <c r="K82" i="22"/>
  <c r="L82" i="22" s="1"/>
  <c r="M82" i="22" s="1"/>
  <c r="N82" i="22" s="1"/>
  <c r="O82" i="22" s="1"/>
  <c r="K81" i="22"/>
  <c r="L81" i="22" s="1"/>
  <c r="M81" i="22" s="1"/>
  <c r="N81" i="22" s="1"/>
  <c r="O81" i="22" s="1"/>
  <c r="K80" i="22"/>
  <c r="L80" i="22" s="1"/>
  <c r="M80" i="22" s="1"/>
  <c r="N80" i="22" s="1"/>
  <c r="O80" i="22" s="1"/>
  <c r="K79" i="22"/>
  <c r="L79" i="22" s="1"/>
  <c r="M79" i="22" s="1"/>
  <c r="N79" i="22" s="1"/>
  <c r="O79" i="22" s="1"/>
  <c r="K78" i="22"/>
  <c r="L78" i="22" s="1"/>
  <c r="M78" i="22" s="1"/>
  <c r="N78" i="22" s="1"/>
  <c r="O78" i="22" s="1"/>
  <c r="K77" i="22"/>
  <c r="L77" i="22" s="1"/>
  <c r="M77" i="22" s="1"/>
  <c r="N77" i="22" s="1"/>
  <c r="O77" i="22" s="1"/>
  <c r="K76" i="22"/>
  <c r="L76" i="22" s="1"/>
  <c r="M76" i="22" s="1"/>
  <c r="N76" i="22" s="1"/>
  <c r="O76" i="22" s="1"/>
  <c r="J115" i="21"/>
  <c r="I115" i="21"/>
  <c r="H115" i="21"/>
  <c r="J114" i="21"/>
  <c r="I114" i="21"/>
  <c r="H114" i="21"/>
  <c r="J80" i="21"/>
  <c r="I80" i="21"/>
  <c r="H80" i="21"/>
  <c r="J79" i="21"/>
  <c r="I79" i="21"/>
  <c r="H79" i="21"/>
  <c r="J37" i="21"/>
  <c r="I37" i="21"/>
  <c r="H37" i="21"/>
  <c r="J57" i="21"/>
  <c r="I57" i="21"/>
  <c r="H57" i="21"/>
  <c r="J34" i="21"/>
  <c r="I34" i="21"/>
  <c r="H34" i="21"/>
  <c r="J35" i="21"/>
  <c r="I35" i="21"/>
  <c r="H35" i="21"/>
  <c r="J36" i="21"/>
  <c r="I36" i="21"/>
  <c r="H36" i="21"/>
  <c r="J29" i="21"/>
  <c r="I29" i="21"/>
  <c r="H29" i="21"/>
  <c r="G27" i="21"/>
  <c r="A1" i="14"/>
  <c r="A1" i="15" s="1"/>
  <c r="B6" i="13"/>
  <c r="C98" i="22"/>
  <c r="K133" i="21"/>
  <c r="K67" i="21"/>
  <c r="A4" i="15"/>
  <c r="C6" i="15"/>
  <c r="P91" i="15"/>
  <c r="P71" i="15"/>
  <c r="G74" i="15" s="1"/>
  <c r="D54" i="15"/>
  <c r="P52" i="15"/>
  <c r="P33" i="15"/>
  <c r="D35" i="15"/>
  <c r="D72" i="15"/>
  <c r="I48" i="15" l="1"/>
  <c r="H48" i="15"/>
  <c r="G48" i="15"/>
  <c r="G115" i="21"/>
  <c r="G114" i="21"/>
  <c r="G80" i="21"/>
  <c r="G79" i="21"/>
  <c r="G37" i="21"/>
  <c r="G57" i="21"/>
  <c r="G34" i="21"/>
  <c r="G35" i="21"/>
  <c r="G36" i="21"/>
  <c r="G29" i="21"/>
  <c r="J115" i="15"/>
  <c r="J107" i="15"/>
  <c r="J99" i="15"/>
  <c r="D41" i="15"/>
  <c r="A1" i="25" l="1"/>
  <c r="G107" i="25"/>
  <c r="G88" i="25"/>
  <c r="C6" i="16"/>
  <c r="B8" i="24"/>
  <c r="E18" i="14"/>
  <c r="C9" i="15" s="1"/>
  <c r="C12" i="15" s="1"/>
  <c r="D21" i="6"/>
  <c r="D22" i="6"/>
  <c r="G22" i="6" s="1"/>
  <c r="E105" i="4"/>
  <c r="E35" i="1"/>
  <c r="G27" i="6"/>
  <c r="T38" i="1"/>
  <c r="G11" i="1"/>
  <c r="G12" i="1"/>
  <c r="C6" i="6"/>
  <c r="A4" i="6"/>
  <c r="G19" i="22"/>
  <c r="G18" i="22"/>
  <c r="G17" i="22"/>
  <c r="G12" i="22"/>
  <c r="G11" i="22"/>
  <c r="G19" i="1"/>
  <c r="G18" i="1"/>
  <c r="G17" i="1"/>
  <c r="G14" i="1"/>
  <c r="G13" i="1"/>
  <c r="G19" i="21"/>
  <c r="G18" i="21"/>
  <c r="G17" i="21"/>
  <c r="G12" i="21"/>
  <c r="G11" i="21"/>
  <c r="G52" i="4"/>
  <c r="H52" i="4"/>
  <c r="B10" i="24" l="1"/>
  <c r="B11" i="24" s="1"/>
  <c r="B12" i="24" s="1"/>
  <c r="B13" i="24" s="1"/>
  <c r="B14" i="24" s="1"/>
  <c r="B15" i="24" s="1"/>
  <c r="B16" i="24" s="1"/>
  <c r="B17" i="24" s="1"/>
  <c r="B18" i="24" s="1"/>
  <c r="B19" i="24" s="1"/>
  <c r="B20" i="24" s="1"/>
  <c r="B21" i="24" s="1"/>
  <c r="B22" i="24" s="1"/>
  <c r="B23" i="24" s="1"/>
  <c r="B9" i="24"/>
  <c r="G21" i="6"/>
  <c r="V45" i="6" s="1"/>
  <c r="V42" i="6"/>
  <c r="E104" i="4"/>
  <c r="C9" i="6"/>
  <c r="C13" i="6" s="1"/>
  <c r="C85" i="4"/>
  <c r="C113" i="22" l="1"/>
  <c r="M50" i="4" l="1"/>
  <c r="G295" i="22" l="1"/>
  <c r="G150" i="21"/>
  <c r="H147" i="21" l="1"/>
  <c r="G105" i="22"/>
  <c r="G128" i="22"/>
  <c r="J177" i="22" l="1"/>
  <c r="I177" i="22"/>
  <c r="H177" i="22"/>
  <c r="G177" i="22"/>
  <c r="O173" i="22"/>
  <c r="N173" i="22"/>
  <c r="M173" i="22"/>
  <c r="L173" i="22"/>
  <c r="K173" i="22"/>
  <c r="C153" i="22"/>
  <c r="C152" i="22"/>
  <c r="C147" i="22"/>
  <c r="C142" i="22"/>
  <c r="C141" i="22"/>
  <c r="C137" i="22"/>
  <c r="C114" i="22"/>
  <c r="E43" i="22"/>
  <c r="E40" i="22"/>
  <c r="E44" i="22" s="1"/>
  <c r="E45" i="22"/>
  <c r="V50" i="22"/>
  <c r="P153" i="22" l="1"/>
  <c r="P152" i="22"/>
  <c r="P151" i="22"/>
  <c r="P147" i="22"/>
  <c r="P142" i="22"/>
  <c r="P141" i="22"/>
  <c r="P140" i="22"/>
  <c r="P137" i="22"/>
  <c r="P136" i="22"/>
  <c r="P135" i="22"/>
  <c r="P134" i="22"/>
  <c r="P131" i="22"/>
  <c r="P127" i="22"/>
  <c r="P126" i="22"/>
  <c r="P114" i="22"/>
  <c r="P112" i="22"/>
  <c r="P107" i="22"/>
  <c r="P103" i="22"/>
  <c r="P102" i="22"/>
  <c r="T59" i="1"/>
  <c r="T58" i="1"/>
  <c r="T57" i="1"/>
  <c r="T54" i="1"/>
  <c r="T53" i="1"/>
  <c r="T50" i="1"/>
  <c r="T49" i="1"/>
  <c r="T46" i="1"/>
  <c r="T45" i="1"/>
  <c r="T44" i="1"/>
  <c r="G8" i="1" s="1"/>
  <c r="T36" i="1"/>
  <c r="T35" i="1"/>
  <c r="T33" i="1"/>
  <c r="T32" i="1"/>
  <c r="T29" i="1"/>
  <c r="T26" i="1"/>
  <c r="S36" i="1"/>
  <c r="J147" i="21"/>
  <c r="I147" i="21"/>
  <c r="J145" i="21"/>
  <c r="I145" i="21"/>
  <c r="H145" i="21"/>
  <c r="G145" i="21"/>
  <c r="G141" i="21"/>
  <c r="J136" i="21"/>
  <c r="I136" i="21"/>
  <c r="H136" i="21"/>
  <c r="G136" i="21"/>
  <c r="J68" i="22" l="1"/>
  <c r="K68" i="22" s="1"/>
  <c r="L68" i="22" s="1"/>
  <c r="M68" i="22" s="1"/>
  <c r="N68" i="22" s="1"/>
  <c r="O68" i="22" s="1"/>
  <c r="J67" i="22"/>
  <c r="K67" i="22" s="1"/>
  <c r="L67" i="22" s="1"/>
  <c r="M67" i="22" s="1"/>
  <c r="N67" i="22" s="1"/>
  <c r="O67" i="22" s="1"/>
  <c r="J66" i="22"/>
  <c r="K66" i="22" s="1"/>
  <c r="L66" i="22" s="1"/>
  <c r="M66" i="22" s="1"/>
  <c r="N66" i="22" s="1"/>
  <c r="O66" i="22" s="1"/>
  <c r="J65" i="22"/>
  <c r="K65" i="22" s="1"/>
  <c r="L65" i="22" s="1"/>
  <c r="M65" i="22" s="1"/>
  <c r="N65" i="22" s="1"/>
  <c r="O65" i="22" s="1"/>
  <c r="J28" i="21"/>
  <c r="J112" i="21" l="1"/>
  <c r="I112" i="21"/>
  <c r="H112" i="21"/>
  <c r="G112" i="21"/>
  <c r="G146" i="21" s="1"/>
  <c r="E25" i="1"/>
  <c r="J73" i="21"/>
  <c r="I73" i="21"/>
  <c r="H73" i="21"/>
  <c r="G73" i="21"/>
  <c r="G28" i="21"/>
  <c r="S59" i="1"/>
  <c r="B6" i="5"/>
  <c r="T25" i="1" l="1"/>
  <c r="G7" i="1" s="1"/>
  <c r="A1" i="24"/>
  <c r="Q42" i="6"/>
  <c r="A1" i="4"/>
  <c r="G140" i="21"/>
  <c r="G104" i="22"/>
  <c r="A1" i="22"/>
  <c r="A1" i="21"/>
  <c r="A1" i="1"/>
  <c r="A1" i="10"/>
  <c r="A4" i="16" l="1"/>
  <c r="C9" i="16" l="1"/>
  <c r="C12" i="16" s="1"/>
  <c r="G58" i="22"/>
  <c r="H58" i="22"/>
  <c r="I58" i="22"/>
  <c r="J58" i="22"/>
  <c r="K58" i="22" s="1"/>
  <c r="K101" i="22" s="1"/>
  <c r="G60" i="22"/>
  <c r="H60" i="22"/>
  <c r="I60" i="22"/>
  <c r="J60" i="22"/>
  <c r="K60" i="22"/>
  <c r="L60" i="22"/>
  <c r="M60" i="22"/>
  <c r="G61" i="22"/>
  <c r="I61" i="22"/>
  <c r="I53" i="25" s="1"/>
  <c r="J61" i="22"/>
  <c r="G62" i="22"/>
  <c r="I62" i="22"/>
  <c r="J62" i="22"/>
  <c r="G65" i="22"/>
  <c r="H65" i="22"/>
  <c r="I65" i="22"/>
  <c r="G66" i="22"/>
  <c r="H66" i="22"/>
  <c r="I66" i="22"/>
  <c r="G67" i="22"/>
  <c r="H67" i="22"/>
  <c r="I67" i="22"/>
  <c r="G68" i="22"/>
  <c r="H68" i="22"/>
  <c r="I68" i="22"/>
  <c r="G69" i="22"/>
  <c r="I69" i="22"/>
  <c r="J69" i="22"/>
  <c r="J70" i="22"/>
  <c r="G72" i="22"/>
  <c r="H72" i="22"/>
  <c r="I72" i="22"/>
  <c r="J72" i="22"/>
  <c r="G73" i="22"/>
  <c r="I73" i="22"/>
  <c r="I286" i="22" s="1"/>
  <c r="J73" i="22"/>
  <c r="J286" i="22" s="1"/>
  <c r="J74" i="22"/>
  <c r="G76" i="22"/>
  <c r="H76" i="22"/>
  <c r="I76" i="22"/>
  <c r="J76" i="22"/>
  <c r="G77" i="22"/>
  <c r="H77" i="22"/>
  <c r="I77" i="22"/>
  <c r="J77" i="22"/>
  <c r="G78" i="22"/>
  <c r="H78" i="22"/>
  <c r="I78" i="22"/>
  <c r="J78" i="22"/>
  <c r="G79" i="22"/>
  <c r="H79" i="22"/>
  <c r="I79" i="22"/>
  <c r="J79" i="22"/>
  <c r="G80" i="22"/>
  <c r="H80" i="22"/>
  <c r="I80" i="22"/>
  <c r="J80" i="22"/>
  <c r="G81" i="22"/>
  <c r="H81" i="22"/>
  <c r="I81" i="22"/>
  <c r="J81" i="22"/>
  <c r="G82" i="22"/>
  <c r="H82" i="22"/>
  <c r="I82" i="22"/>
  <c r="J82" i="22"/>
  <c r="G83" i="22"/>
  <c r="H83" i="22"/>
  <c r="I83" i="22"/>
  <c r="J83" i="22"/>
  <c r="G84" i="22"/>
  <c r="G56" i="25" s="1"/>
  <c r="I84" i="22"/>
  <c r="J84" i="22"/>
  <c r="G87" i="22"/>
  <c r="G287" i="22" s="1"/>
  <c r="H87" i="22"/>
  <c r="H287" i="22" s="1"/>
  <c r="I87" i="22"/>
  <c r="I287" i="22" s="1"/>
  <c r="J87" i="22"/>
  <c r="G88" i="22"/>
  <c r="G289" i="22" s="1"/>
  <c r="H88" i="22"/>
  <c r="H289" i="22" s="1"/>
  <c r="I88" i="22"/>
  <c r="I289" i="22" s="1"/>
  <c r="J88" i="22"/>
  <c r="G92" i="22"/>
  <c r="G299" i="22" s="1"/>
  <c r="H92" i="22"/>
  <c r="I92" i="22"/>
  <c r="J92" i="22"/>
  <c r="C100" i="22"/>
  <c r="C101" i="22"/>
  <c r="G172" i="22"/>
  <c r="C102" i="22"/>
  <c r="G173" i="22"/>
  <c r="C103" i="22"/>
  <c r="H103" i="22"/>
  <c r="I103" i="22"/>
  <c r="J103" i="22"/>
  <c r="C104" i="22"/>
  <c r="C105" i="22"/>
  <c r="G107" i="22"/>
  <c r="H107" i="22"/>
  <c r="I107" i="22"/>
  <c r="J107" i="22"/>
  <c r="C108" i="22"/>
  <c r="G108" i="22"/>
  <c r="H108" i="22"/>
  <c r="I108" i="22"/>
  <c r="J108" i="22"/>
  <c r="K108" i="22"/>
  <c r="L108" i="22"/>
  <c r="M108" i="22"/>
  <c r="N108" i="22"/>
  <c r="O108" i="22"/>
  <c r="C110" i="22"/>
  <c r="G110" i="22"/>
  <c r="H110" i="22"/>
  <c r="I110" i="22"/>
  <c r="J110" i="22"/>
  <c r="K110" i="22" s="1"/>
  <c r="L110" i="22" s="1"/>
  <c r="M110" i="22" s="1"/>
  <c r="N110" i="22" s="1"/>
  <c r="O110" i="22" s="1"/>
  <c r="P110" i="22" s="1"/>
  <c r="C111" i="22"/>
  <c r="G111" i="22"/>
  <c r="H111" i="22"/>
  <c r="I111" i="22"/>
  <c r="J111" i="22"/>
  <c r="K111" i="22" s="1"/>
  <c r="L111" i="22" s="1"/>
  <c r="M111" i="22" s="1"/>
  <c r="N111" i="22" s="1"/>
  <c r="O111" i="22" s="1"/>
  <c r="P111" i="22" s="1"/>
  <c r="C112" i="22"/>
  <c r="G112" i="22"/>
  <c r="H112" i="22"/>
  <c r="I112" i="22"/>
  <c r="J112" i="22"/>
  <c r="G113" i="22"/>
  <c r="H113" i="22"/>
  <c r="I113" i="22"/>
  <c r="J113" i="22"/>
  <c r="G114" i="22"/>
  <c r="H114" i="22"/>
  <c r="I114" i="22"/>
  <c r="J114" i="22"/>
  <c r="C115" i="22"/>
  <c r="G115" i="22"/>
  <c r="H115" i="22"/>
  <c r="I115" i="22"/>
  <c r="J115" i="22"/>
  <c r="K115" i="22"/>
  <c r="C117" i="22"/>
  <c r="C119" i="22"/>
  <c r="C121" i="22"/>
  <c r="C123" i="22"/>
  <c r="C125" i="22"/>
  <c r="G125" i="22"/>
  <c r="H125" i="22"/>
  <c r="I125" i="22"/>
  <c r="J125" i="22"/>
  <c r="K125" i="22"/>
  <c r="L125" i="22"/>
  <c r="M125" i="22"/>
  <c r="N125" i="22"/>
  <c r="O125" i="22"/>
  <c r="P125" i="22" s="1"/>
  <c r="P276" i="22" s="1"/>
  <c r="C126" i="22"/>
  <c r="G126" i="22"/>
  <c r="H126" i="22"/>
  <c r="I126" i="22"/>
  <c r="J126" i="22"/>
  <c r="C127" i="22"/>
  <c r="G127" i="22"/>
  <c r="H127" i="22"/>
  <c r="I127" i="22"/>
  <c r="J127" i="22"/>
  <c r="C128" i="22"/>
  <c r="C129" i="22"/>
  <c r="C130" i="22"/>
  <c r="G130" i="22"/>
  <c r="H130" i="22"/>
  <c r="I130" i="22"/>
  <c r="J130" i="22"/>
  <c r="C131" i="22"/>
  <c r="G131" i="22"/>
  <c r="H131" i="22"/>
  <c r="I131" i="22"/>
  <c r="J131" i="22"/>
  <c r="C132" i="22"/>
  <c r="C134" i="22"/>
  <c r="G134" i="22"/>
  <c r="H134" i="22"/>
  <c r="I134" i="22"/>
  <c r="J134" i="22"/>
  <c r="C135" i="22"/>
  <c r="G135" i="22"/>
  <c r="H135" i="22"/>
  <c r="I135" i="22"/>
  <c r="J135" i="22"/>
  <c r="C136" i="22"/>
  <c r="G136" i="22"/>
  <c r="H136" i="22"/>
  <c r="I136" i="22"/>
  <c r="J136" i="22"/>
  <c r="G137" i="22"/>
  <c r="H137" i="22"/>
  <c r="I137" i="22"/>
  <c r="J137" i="22"/>
  <c r="C138" i="22"/>
  <c r="G138" i="22"/>
  <c r="H138" i="22"/>
  <c r="I138" i="22"/>
  <c r="J138" i="22"/>
  <c r="K138" i="22"/>
  <c r="L138" i="22"/>
  <c r="M138" i="22"/>
  <c r="N138" i="22"/>
  <c r="O138" i="22"/>
  <c r="C140" i="22"/>
  <c r="G140" i="22"/>
  <c r="H140" i="22"/>
  <c r="I140" i="22"/>
  <c r="J140" i="22"/>
  <c r="G141" i="22"/>
  <c r="H141" i="22"/>
  <c r="I141" i="22"/>
  <c r="J141" i="22"/>
  <c r="G142" i="22"/>
  <c r="H142" i="22"/>
  <c r="I142" i="22"/>
  <c r="J142" i="22"/>
  <c r="C143" i="22"/>
  <c r="G143" i="22"/>
  <c r="H143" i="22"/>
  <c r="I143" i="22"/>
  <c r="J143" i="22"/>
  <c r="K143" i="22"/>
  <c r="L143" i="22"/>
  <c r="M143" i="22"/>
  <c r="N143" i="22"/>
  <c r="O143" i="22"/>
  <c r="C145" i="22"/>
  <c r="G145" i="22"/>
  <c r="H145" i="22"/>
  <c r="I145" i="22"/>
  <c r="J145" i="22"/>
  <c r="K145" i="22" s="1"/>
  <c r="L145" i="22" s="1"/>
  <c r="M145" i="22" s="1"/>
  <c r="N145" i="22" s="1"/>
  <c r="O145" i="22" s="1"/>
  <c r="P145" i="22" s="1"/>
  <c r="C146" i="22"/>
  <c r="G146" i="22"/>
  <c r="H146" i="22"/>
  <c r="I146" i="22"/>
  <c r="J146" i="22"/>
  <c r="K146" i="22" s="1"/>
  <c r="L146" i="22" s="1"/>
  <c r="M146" i="22" s="1"/>
  <c r="N146" i="22" s="1"/>
  <c r="O146" i="22" s="1"/>
  <c r="P146" i="22" s="1"/>
  <c r="G147" i="22"/>
  <c r="H147" i="22"/>
  <c r="I147" i="22"/>
  <c r="J147" i="22"/>
  <c r="C148" i="22"/>
  <c r="G148" i="22"/>
  <c r="G169" i="22" s="1"/>
  <c r="H148" i="22"/>
  <c r="H169" i="22" s="1"/>
  <c r="I148" i="22"/>
  <c r="I169" i="22" s="1"/>
  <c r="J148" i="22"/>
  <c r="K148" i="22"/>
  <c r="L148" i="22"/>
  <c r="M148" i="22"/>
  <c r="N148" i="22"/>
  <c r="O148" i="22"/>
  <c r="C150" i="22"/>
  <c r="G150" i="22"/>
  <c r="H150" i="22"/>
  <c r="I150" i="22"/>
  <c r="J150" i="22"/>
  <c r="P150" i="22" s="1"/>
  <c r="C151" i="22"/>
  <c r="G151" i="22"/>
  <c r="H151" i="22"/>
  <c r="I151" i="22"/>
  <c r="J151" i="22"/>
  <c r="G152" i="22"/>
  <c r="H152" i="22"/>
  <c r="I152" i="22"/>
  <c r="J152" i="22"/>
  <c r="G153" i="22"/>
  <c r="H153" i="22"/>
  <c r="I153" i="22"/>
  <c r="J153" i="22"/>
  <c r="C154" i="22"/>
  <c r="G154" i="22"/>
  <c r="H154" i="22"/>
  <c r="H176" i="22" s="1"/>
  <c r="I154" i="22"/>
  <c r="I176" i="22" s="1"/>
  <c r="J154" i="22"/>
  <c r="J176" i="22" s="1"/>
  <c r="K154" i="22"/>
  <c r="L154" i="22"/>
  <c r="M154" i="22"/>
  <c r="N154" i="22"/>
  <c r="O154" i="22"/>
  <c r="C156" i="22"/>
  <c r="G191" i="22"/>
  <c r="H191" i="22"/>
  <c r="I191" i="22"/>
  <c r="J191" i="22"/>
  <c r="R191" i="22"/>
  <c r="G192" i="22"/>
  <c r="H192" i="22"/>
  <c r="I192" i="22"/>
  <c r="J192" i="22"/>
  <c r="K192" i="22"/>
  <c r="L192" i="22"/>
  <c r="M192" i="22"/>
  <c r="R192" i="22"/>
  <c r="C194" i="22"/>
  <c r="G194" i="22"/>
  <c r="H194" i="22"/>
  <c r="I194" i="22"/>
  <c r="J194" i="22"/>
  <c r="K194" i="22"/>
  <c r="L194" i="22"/>
  <c r="M194" i="22"/>
  <c r="N194" i="22"/>
  <c r="O194" i="22"/>
  <c r="R194" i="22"/>
  <c r="S194" i="22"/>
  <c r="V194" i="22"/>
  <c r="W194" i="22"/>
  <c r="C195" i="22"/>
  <c r="G195" i="22"/>
  <c r="H195" i="22"/>
  <c r="I195" i="22"/>
  <c r="J195" i="22"/>
  <c r="K195" i="22"/>
  <c r="L195" i="22"/>
  <c r="M195" i="22"/>
  <c r="N195" i="22"/>
  <c r="O195" i="22"/>
  <c r="R195" i="22"/>
  <c r="S195" i="22"/>
  <c r="V195" i="22"/>
  <c r="W195" i="22"/>
  <c r="C196" i="22"/>
  <c r="G196" i="22"/>
  <c r="H196" i="22"/>
  <c r="I196" i="22"/>
  <c r="J196" i="22"/>
  <c r="K196" i="22"/>
  <c r="L196" i="22"/>
  <c r="M196" i="22"/>
  <c r="N196" i="22"/>
  <c r="O196" i="22"/>
  <c r="R196" i="22"/>
  <c r="S196" i="22"/>
  <c r="V196" i="22"/>
  <c r="W196" i="22"/>
  <c r="C197" i="22"/>
  <c r="G197" i="22"/>
  <c r="H197" i="22"/>
  <c r="I197" i="22"/>
  <c r="J197" i="22"/>
  <c r="K197" i="22"/>
  <c r="R197" i="22"/>
  <c r="C198" i="22"/>
  <c r="G198" i="22"/>
  <c r="H198" i="22"/>
  <c r="I198" i="22"/>
  <c r="J198" i="22"/>
  <c r="K198" i="22"/>
  <c r="L198" i="22"/>
  <c r="M198" i="22"/>
  <c r="N198" i="22"/>
  <c r="O198" i="22"/>
  <c r="R198" i="22"/>
  <c r="S198" i="22"/>
  <c r="G199" i="22"/>
  <c r="H199" i="22"/>
  <c r="I199" i="22"/>
  <c r="J199" i="22"/>
  <c r="K199" i="22"/>
  <c r="R199" i="22"/>
  <c r="C201" i="22"/>
  <c r="G201" i="22"/>
  <c r="H201" i="22"/>
  <c r="I201" i="22"/>
  <c r="J201" i="22"/>
  <c r="K201" i="22"/>
  <c r="L201" i="22"/>
  <c r="M201" i="22"/>
  <c r="N201" i="22"/>
  <c r="O201" i="22"/>
  <c r="R201" i="22"/>
  <c r="S201" i="22"/>
  <c r="V201" i="22"/>
  <c r="W201" i="22"/>
  <c r="C202" i="22"/>
  <c r="G202" i="22"/>
  <c r="H202" i="22"/>
  <c r="I202" i="22"/>
  <c r="J202" i="22"/>
  <c r="K202" i="22"/>
  <c r="L202" i="22"/>
  <c r="M202" i="22"/>
  <c r="N202" i="22"/>
  <c r="O202" i="22"/>
  <c r="R202" i="22"/>
  <c r="S202" i="22"/>
  <c r="V202" i="22"/>
  <c r="W202" i="22"/>
  <c r="C203" i="22"/>
  <c r="G203" i="22"/>
  <c r="H203" i="22"/>
  <c r="I203" i="22"/>
  <c r="J203" i="22"/>
  <c r="K203" i="22"/>
  <c r="L203" i="22"/>
  <c r="M203" i="22"/>
  <c r="N203" i="22"/>
  <c r="O203" i="22"/>
  <c r="R203" i="22"/>
  <c r="S203" i="22"/>
  <c r="C204" i="22"/>
  <c r="G204" i="22"/>
  <c r="H204" i="22"/>
  <c r="I204" i="22"/>
  <c r="J204" i="22"/>
  <c r="K204" i="22"/>
  <c r="L204" i="22"/>
  <c r="M204" i="22"/>
  <c r="N204" i="22"/>
  <c r="O204" i="22"/>
  <c r="R204" i="22"/>
  <c r="S204" i="22"/>
  <c r="C205" i="22"/>
  <c r="G205" i="22"/>
  <c r="H205" i="22"/>
  <c r="I205" i="22"/>
  <c r="J205" i="22"/>
  <c r="K205" i="22"/>
  <c r="L205" i="22"/>
  <c r="M205" i="22"/>
  <c r="N205" i="22"/>
  <c r="O205" i="22"/>
  <c r="R205" i="22"/>
  <c r="S205" i="22"/>
  <c r="C206" i="22"/>
  <c r="G206" i="22"/>
  <c r="H206" i="22"/>
  <c r="I206" i="22"/>
  <c r="J206" i="22"/>
  <c r="K206" i="22"/>
  <c r="L206" i="22"/>
  <c r="M206" i="22"/>
  <c r="N206" i="22"/>
  <c r="O206" i="22"/>
  <c r="R206" i="22"/>
  <c r="S206" i="22"/>
  <c r="G207" i="22"/>
  <c r="H207" i="22"/>
  <c r="I207" i="22"/>
  <c r="J207" i="22"/>
  <c r="K207" i="22"/>
  <c r="L207" i="22"/>
  <c r="M207" i="22"/>
  <c r="N207" i="22"/>
  <c r="O207" i="22"/>
  <c r="R207" i="22"/>
  <c r="S207" i="22"/>
  <c r="G209" i="22"/>
  <c r="H209" i="22"/>
  <c r="I209" i="22"/>
  <c r="J209" i="22"/>
  <c r="R209" i="22"/>
  <c r="G210" i="22"/>
  <c r="H210" i="22"/>
  <c r="I210" i="22"/>
  <c r="J210" i="22"/>
  <c r="K210" i="22"/>
  <c r="L210" i="22"/>
  <c r="M210" i="22"/>
  <c r="R210" i="22"/>
  <c r="G211" i="22"/>
  <c r="H211" i="22"/>
  <c r="I211" i="22"/>
  <c r="J211" i="22"/>
  <c r="R211" i="22"/>
  <c r="G212" i="22"/>
  <c r="H212" i="22"/>
  <c r="I212" i="22"/>
  <c r="J212" i="22"/>
  <c r="K212" i="22"/>
  <c r="L212" i="22"/>
  <c r="M212" i="22"/>
  <c r="R212" i="22"/>
  <c r="G213" i="22"/>
  <c r="H213" i="22"/>
  <c r="I213" i="22"/>
  <c r="J213" i="22"/>
  <c r="K213" i="22"/>
  <c r="L213" i="22"/>
  <c r="M213" i="22"/>
  <c r="R213" i="22"/>
  <c r="G215" i="22"/>
  <c r="H215" i="22"/>
  <c r="H216" i="22" s="1"/>
  <c r="H256" i="22" s="1"/>
  <c r="I215" i="22"/>
  <c r="J215" i="22"/>
  <c r="K215" i="22"/>
  <c r="K216" i="22" s="1"/>
  <c r="H20" i="4" s="1"/>
  <c r="R215" i="22"/>
  <c r="I216" i="22"/>
  <c r="J216" i="22"/>
  <c r="R216" i="22"/>
  <c r="G224" i="22"/>
  <c r="H224" i="22"/>
  <c r="I224" i="22"/>
  <c r="J224" i="22"/>
  <c r="G230" i="22"/>
  <c r="H230" i="22"/>
  <c r="I230" i="22"/>
  <c r="J230" i="22"/>
  <c r="I256" i="22"/>
  <c r="J256" i="22"/>
  <c r="K256" i="22"/>
  <c r="H258" i="22"/>
  <c r="I258" i="22"/>
  <c r="J258" i="22"/>
  <c r="K258" i="22"/>
  <c r="L258" i="22"/>
  <c r="M258" i="22"/>
  <c r="N258" i="22"/>
  <c r="O258" i="22"/>
  <c r="H259" i="22"/>
  <c r="I259" i="22"/>
  <c r="J259" i="22"/>
  <c r="K259" i="22"/>
  <c r="L259" i="22"/>
  <c r="M259" i="22"/>
  <c r="N259" i="22"/>
  <c r="O259" i="22"/>
  <c r="H260" i="22"/>
  <c r="I260" i="22"/>
  <c r="J260" i="22"/>
  <c r="K260" i="22"/>
  <c r="L260" i="22"/>
  <c r="M260" i="22"/>
  <c r="N260" i="22"/>
  <c r="O260" i="22"/>
  <c r="K276" i="22"/>
  <c r="L276" i="22"/>
  <c r="M276" i="22"/>
  <c r="N276" i="22"/>
  <c r="O276" i="22"/>
  <c r="K277" i="22"/>
  <c r="L277" i="22"/>
  <c r="M277" i="22"/>
  <c r="N277" i="22"/>
  <c r="O277" i="22"/>
  <c r="J26" i="21"/>
  <c r="K26" i="21" s="1"/>
  <c r="L26" i="21" s="1"/>
  <c r="M26" i="21" s="1"/>
  <c r="N26" i="21" s="1"/>
  <c r="O26" i="21" s="1"/>
  <c r="P26" i="21" s="1"/>
  <c r="H28" i="21"/>
  <c r="I28" i="21"/>
  <c r="G30" i="21"/>
  <c r="H30" i="21"/>
  <c r="I30" i="21"/>
  <c r="J30" i="21"/>
  <c r="G38" i="21"/>
  <c r="G39" i="21" s="1"/>
  <c r="H38" i="21"/>
  <c r="H39" i="21" s="1"/>
  <c r="I38" i="21"/>
  <c r="I39" i="21" s="1"/>
  <c r="J38" i="21"/>
  <c r="J39" i="21" s="1"/>
  <c r="G42" i="21"/>
  <c r="G43" i="21" s="1"/>
  <c r="H42" i="21"/>
  <c r="H43" i="21" s="1"/>
  <c r="I42" i="21"/>
  <c r="I43" i="21" s="1"/>
  <c r="J42" i="21"/>
  <c r="J43" i="21" s="1"/>
  <c r="G53" i="21"/>
  <c r="H53" i="21"/>
  <c r="I53" i="21"/>
  <c r="J53" i="21"/>
  <c r="J68" i="21"/>
  <c r="H104" i="22"/>
  <c r="I104" i="22"/>
  <c r="J104" i="22"/>
  <c r="G77" i="21"/>
  <c r="H77" i="21"/>
  <c r="I77" i="21"/>
  <c r="J77" i="21"/>
  <c r="G84" i="21"/>
  <c r="H84" i="21"/>
  <c r="I84" i="21"/>
  <c r="J84" i="21"/>
  <c r="G107" i="21"/>
  <c r="H107" i="21"/>
  <c r="I107" i="21"/>
  <c r="J107" i="21"/>
  <c r="G117" i="21"/>
  <c r="H117" i="21"/>
  <c r="I117" i="21"/>
  <c r="J117" i="21"/>
  <c r="G123" i="21"/>
  <c r="G144" i="21" s="1"/>
  <c r="H123" i="21"/>
  <c r="H144" i="21" s="1"/>
  <c r="I123" i="21"/>
  <c r="I144" i="21" s="1"/>
  <c r="J123" i="21"/>
  <c r="J144" i="21" s="1"/>
  <c r="X42" i="16"/>
  <c r="X41" i="16"/>
  <c r="X40" i="16"/>
  <c r="X39" i="16"/>
  <c r="X38" i="16"/>
  <c r="W42" i="16"/>
  <c r="W41" i="16"/>
  <c r="W40" i="16"/>
  <c r="W39" i="16"/>
  <c r="W38" i="16"/>
  <c r="J37" i="16"/>
  <c r="I37" i="16" s="1"/>
  <c r="L37" i="16"/>
  <c r="M37" i="16"/>
  <c r="D31" i="16"/>
  <c r="E26" i="14"/>
  <c r="B8" i="10"/>
  <c r="D21" i="16"/>
  <c r="D121" i="15"/>
  <c r="D117" i="15"/>
  <c r="D115" i="15"/>
  <c r="D113" i="15"/>
  <c r="D112" i="15"/>
  <c r="D111" i="15"/>
  <c r="D105" i="15"/>
  <c r="D104" i="15"/>
  <c r="D103" i="15"/>
  <c r="D97" i="15"/>
  <c r="D96" i="15"/>
  <c r="D95" i="15"/>
  <c r="D58" i="15"/>
  <c r="D56" i="15"/>
  <c r="D47" i="15"/>
  <c r="D67" i="15"/>
  <c r="D66" i="15"/>
  <c r="D64" i="15"/>
  <c r="D62" i="15"/>
  <c r="D48" i="15"/>
  <c r="D45" i="15"/>
  <c r="D43" i="15"/>
  <c r="D39" i="15"/>
  <c r="D37" i="15"/>
  <c r="J119" i="15"/>
  <c r="G29" i="15"/>
  <c r="J84" i="15"/>
  <c r="I74" i="15"/>
  <c r="H74" i="15"/>
  <c r="I29" i="15"/>
  <c r="I77" i="15" s="1"/>
  <c r="I78" i="15" s="1"/>
  <c r="H29" i="15"/>
  <c r="H77" i="15" s="1"/>
  <c r="H78" i="15" s="1"/>
  <c r="G77" i="15"/>
  <c r="D29" i="15"/>
  <c r="D28" i="15"/>
  <c r="D27" i="15"/>
  <c r="I23" i="15"/>
  <c r="J23" i="15" s="1"/>
  <c r="H23" i="15"/>
  <c r="G23" i="15"/>
  <c r="E29" i="14"/>
  <c r="J281" i="9"/>
  <c r="I281" i="9"/>
  <c r="G281" i="9" s="1"/>
  <c r="J280" i="9"/>
  <c r="I280" i="9"/>
  <c r="G280" i="9" s="1"/>
  <c r="J279" i="9"/>
  <c r="I279" i="9"/>
  <c r="G279" i="9" s="1"/>
  <c r="J278" i="9"/>
  <c r="I278" i="9"/>
  <c r="G278" i="9" s="1"/>
  <c r="J277" i="9"/>
  <c r="I277" i="9"/>
  <c r="G277" i="9" s="1"/>
  <c r="J273" i="9"/>
  <c r="I273" i="9"/>
  <c r="H273" i="9"/>
  <c r="G273" i="9"/>
  <c r="F273" i="9"/>
  <c r="J272" i="9"/>
  <c r="I272" i="9"/>
  <c r="H272" i="9"/>
  <c r="G272" i="9"/>
  <c r="F272" i="9"/>
  <c r="G254" i="9"/>
  <c r="C187" i="9"/>
  <c r="I168" i="9"/>
  <c r="I167" i="9"/>
  <c r="D159" i="9"/>
  <c r="C159" i="9"/>
  <c r="D158" i="9"/>
  <c r="C158" i="9"/>
  <c r="D157" i="9"/>
  <c r="C157" i="9"/>
  <c r="D156" i="9"/>
  <c r="C156" i="9"/>
  <c r="D155" i="9"/>
  <c r="C155" i="9"/>
  <c r="D154" i="9"/>
  <c r="C154" i="9"/>
  <c r="M152" i="9"/>
  <c r="H152" i="9"/>
  <c r="G152" i="9"/>
  <c r="C150" i="9"/>
  <c r="C146" i="9"/>
  <c r="G145" i="9"/>
  <c r="C145" i="9"/>
  <c r="C144" i="9"/>
  <c r="C143" i="9"/>
  <c r="G142" i="9"/>
  <c r="C142" i="9"/>
  <c r="G141" i="9"/>
  <c r="C141" i="9"/>
  <c r="C140" i="9"/>
  <c r="G139" i="9"/>
  <c r="C139" i="9"/>
  <c r="C138" i="9"/>
  <c r="C136" i="9"/>
  <c r="G135" i="9"/>
  <c r="E135" i="9"/>
  <c r="C135" i="9"/>
  <c r="G134" i="9"/>
  <c r="E134" i="9"/>
  <c r="C134" i="9"/>
  <c r="G133" i="9"/>
  <c r="E133" i="9"/>
  <c r="C133" i="9"/>
  <c r="G132" i="9"/>
  <c r="C132" i="9"/>
  <c r="C131" i="9"/>
  <c r="C129" i="9"/>
  <c r="C128" i="9"/>
  <c r="C127" i="9"/>
  <c r="C126" i="9"/>
  <c r="C125" i="9"/>
  <c r="C124" i="9"/>
  <c r="C123" i="9"/>
  <c r="C122" i="9"/>
  <c r="E121" i="9"/>
  <c r="C121" i="9"/>
  <c r="C120" i="9"/>
  <c r="C118" i="9"/>
  <c r="E117" i="9"/>
  <c r="C117" i="9"/>
  <c r="E116" i="9"/>
  <c r="C116" i="9"/>
  <c r="M114" i="9"/>
  <c r="H114" i="9"/>
  <c r="C113" i="9"/>
  <c r="I103" i="9"/>
  <c r="D26" i="9"/>
  <c r="D27" i="9" s="1"/>
  <c r="D28" i="9" s="1"/>
  <c r="D29" i="9" s="1"/>
  <c r="D30" i="9" s="1"/>
  <c r="G7" i="9"/>
  <c r="L58" i="22" l="1"/>
  <c r="L101" i="22" s="1"/>
  <c r="G18" i="4"/>
  <c r="J90" i="25"/>
  <c r="I168" i="22"/>
  <c r="I90" i="25"/>
  <c r="H168" i="22"/>
  <c r="H90" i="25"/>
  <c r="G168" i="22"/>
  <c r="G90" i="25"/>
  <c r="G91" i="25" s="1"/>
  <c r="J68" i="25"/>
  <c r="J66" i="25"/>
  <c r="I68" i="25"/>
  <c r="I66" i="25"/>
  <c r="H68" i="25"/>
  <c r="H66" i="25"/>
  <c r="G68" i="25"/>
  <c r="G66" i="25"/>
  <c r="J67" i="25"/>
  <c r="J50" i="25"/>
  <c r="I59" i="22"/>
  <c r="I67" i="25"/>
  <c r="I50" i="25"/>
  <c r="H59" i="22"/>
  <c r="H67" i="25"/>
  <c r="H50" i="25"/>
  <c r="G59" i="22"/>
  <c r="G67" i="25"/>
  <c r="G89" i="25"/>
  <c r="E30" i="14"/>
  <c r="G24" i="16" s="1"/>
  <c r="J74" i="25"/>
  <c r="I74" i="25"/>
  <c r="G178" i="22"/>
  <c r="G74" i="25"/>
  <c r="J76" i="25"/>
  <c r="I76" i="25"/>
  <c r="G76" i="25"/>
  <c r="J56" i="25"/>
  <c r="I56" i="25"/>
  <c r="G79" i="6"/>
  <c r="J81" i="25"/>
  <c r="J54" i="25"/>
  <c r="G32" i="25"/>
  <c r="C12" i="6"/>
  <c r="I191" i="6"/>
  <c r="G191" i="6" s="1"/>
  <c r="J191" i="6"/>
  <c r="H191" i="6" s="1"/>
  <c r="I81" i="25"/>
  <c r="I54" i="25"/>
  <c r="G70" i="22"/>
  <c r="G82" i="25"/>
  <c r="G81" i="25"/>
  <c r="G54" i="25"/>
  <c r="J63" i="22"/>
  <c r="J53" i="25"/>
  <c r="G63" i="22"/>
  <c r="G53" i="25"/>
  <c r="N60" i="22"/>
  <c r="M68" i="25"/>
  <c r="M66" i="25"/>
  <c r="L68" i="25"/>
  <c r="L66" i="25"/>
  <c r="K68" i="25"/>
  <c r="K66" i="25"/>
  <c r="G14" i="22"/>
  <c r="G176" i="22"/>
  <c r="J137" i="21"/>
  <c r="H51" i="4"/>
  <c r="H53" i="4" s="1"/>
  <c r="H97" i="4" s="1"/>
  <c r="G51" i="4"/>
  <c r="G53" i="4" s="1"/>
  <c r="K68" i="21"/>
  <c r="J134" i="21"/>
  <c r="G35" i="4"/>
  <c r="J289" i="22"/>
  <c r="J287" i="22"/>
  <c r="J168" i="22"/>
  <c r="I137" i="21"/>
  <c r="H137" i="21"/>
  <c r="J288" i="22"/>
  <c r="J290" i="22" s="1"/>
  <c r="I288" i="22"/>
  <c r="I290" i="22" s="1"/>
  <c r="G74" i="22"/>
  <c r="G286" i="22"/>
  <c r="G288" i="22" s="1"/>
  <c r="G290" i="22" s="1"/>
  <c r="O176" i="22"/>
  <c r="N176" i="22"/>
  <c r="M176" i="22"/>
  <c r="L176" i="22"/>
  <c r="K176" i="22"/>
  <c r="K169" i="22"/>
  <c r="J169" i="22"/>
  <c r="O178" i="22"/>
  <c r="N178" i="22"/>
  <c r="M178" i="22"/>
  <c r="L178" i="22"/>
  <c r="K178" i="22"/>
  <c r="J146" i="21"/>
  <c r="J178" i="22"/>
  <c r="I146" i="21"/>
  <c r="I178" i="22"/>
  <c r="H146" i="21"/>
  <c r="H178" i="22"/>
  <c r="G174" i="22"/>
  <c r="G137" i="21"/>
  <c r="P68" i="22"/>
  <c r="P67" i="22"/>
  <c r="P66" i="22"/>
  <c r="P65" i="22"/>
  <c r="K88" i="22"/>
  <c r="K83" i="25" s="1"/>
  <c r="I148" i="21"/>
  <c r="H148" i="21"/>
  <c r="G142" i="21"/>
  <c r="J85" i="22"/>
  <c r="J89" i="22"/>
  <c r="J59" i="25" s="1"/>
  <c r="I85" i="22"/>
  <c r="I89" i="22"/>
  <c r="J59" i="22"/>
  <c r="G85" i="22"/>
  <c r="G89" i="22"/>
  <c r="G59" i="25" s="1"/>
  <c r="J58" i="21"/>
  <c r="J54" i="21"/>
  <c r="I58" i="21"/>
  <c r="I54" i="21"/>
  <c r="H58" i="21"/>
  <c r="H54" i="21"/>
  <c r="G58" i="21"/>
  <c r="G54" i="21"/>
  <c r="J31" i="21"/>
  <c r="J32" i="21"/>
  <c r="I31" i="21"/>
  <c r="I32" i="21"/>
  <c r="H31" i="21"/>
  <c r="H32" i="21"/>
  <c r="G31" i="21"/>
  <c r="G32" i="21"/>
  <c r="H61" i="22"/>
  <c r="H53" i="25" s="1"/>
  <c r="I26" i="21"/>
  <c r="J57" i="22"/>
  <c r="J99" i="22"/>
  <c r="P108" i="22"/>
  <c r="P194" i="22"/>
  <c r="P196" i="22"/>
  <c r="P198" i="22"/>
  <c r="P204" i="22"/>
  <c r="P205" i="22"/>
  <c r="P206" i="22"/>
  <c r="P202" i="22"/>
  <c r="Y39" i="16"/>
  <c r="Y40" i="16"/>
  <c r="Y41" i="16"/>
  <c r="Y42" i="16"/>
  <c r="Y38" i="16"/>
  <c r="H38" i="16"/>
  <c r="H39" i="16" s="1"/>
  <c r="B10" i="10"/>
  <c r="B11" i="10" s="1"/>
  <c r="B12" i="10" s="1"/>
  <c r="B13" i="10" s="1"/>
  <c r="B9" i="10"/>
  <c r="G78" i="15"/>
  <c r="G80" i="15" s="1"/>
  <c r="H80" i="15"/>
  <c r="I80" i="15"/>
  <c r="H278" i="9"/>
  <c r="H280" i="9"/>
  <c r="H281" i="9"/>
  <c r="H279" i="9"/>
  <c r="H277" i="9"/>
  <c r="I265" i="9" a="1"/>
  <c r="H268" i="9" s="1"/>
  <c r="K127" i="6"/>
  <c r="M58" i="22" l="1"/>
  <c r="M101" i="22" s="1"/>
  <c r="K88" i="25"/>
  <c r="H19" i="4"/>
  <c r="K172" i="22"/>
  <c r="K228" i="22"/>
  <c r="L225" i="9"/>
  <c r="G69" i="25"/>
  <c r="H69" i="25"/>
  <c r="I69" i="25"/>
  <c r="J69" i="25"/>
  <c r="K67" i="25"/>
  <c r="K50" i="25"/>
  <c r="K89" i="25"/>
  <c r="I93" i="22"/>
  <c r="I59" i="25"/>
  <c r="K69" i="25"/>
  <c r="O60" i="22"/>
  <c r="N68" i="25"/>
  <c r="N66" i="25"/>
  <c r="N192" i="22"/>
  <c r="E38" i="1"/>
  <c r="J48" i="25"/>
  <c r="K278" i="22"/>
  <c r="L68" i="21"/>
  <c r="K134" i="21"/>
  <c r="K289" i="22"/>
  <c r="P173" i="22"/>
  <c r="K99" i="22"/>
  <c r="J166" i="22"/>
  <c r="J148" i="21"/>
  <c r="K59" i="22"/>
  <c r="K61" i="22"/>
  <c r="K53" i="25" s="1"/>
  <c r="K191" i="22"/>
  <c r="J90" i="22"/>
  <c r="J93" i="22"/>
  <c r="G90" i="22"/>
  <c r="G93" i="22"/>
  <c r="G59" i="21"/>
  <c r="G62" i="21"/>
  <c r="H59" i="21"/>
  <c r="H62" i="21"/>
  <c r="I59" i="21"/>
  <c r="I62" i="21"/>
  <c r="J59" i="21"/>
  <c r="J62" i="21"/>
  <c r="H63" i="22"/>
  <c r="I63" i="22"/>
  <c r="H62" i="22"/>
  <c r="H69" i="22"/>
  <c r="H69" i="21"/>
  <c r="P154" i="22"/>
  <c r="P148" i="22"/>
  <c r="P201" i="22"/>
  <c r="P143" i="22"/>
  <c r="P138" i="22"/>
  <c r="P203" i="22"/>
  <c r="P195" i="22"/>
  <c r="K57" i="22"/>
  <c r="K48" i="25" s="1"/>
  <c r="K51" i="25" s="1"/>
  <c r="J190" i="22"/>
  <c r="J222" i="22" s="1"/>
  <c r="J251" i="22" s="1"/>
  <c r="J272" i="22" s="1"/>
  <c r="J285" i="22" s="1"/>
  <c r="H26" i="21"/>
  <c r="I57" i="22"/>
  <c r="I48" i="25" s="1"/>
  <c r="I99" i="22"/>
  <c r="I166" i="22" s="1"/>
  <c r="I68" i="21"/>
  <c r="I134" i="21" s="1"/>
  <c r="H40" i="16"/>
  <c r="H41" i="16" s="1"/>
  <c r="H42" i="16" s="1"/>
  <c r="J82" i="15"/>
  <c r="G31" i="16" s="1"/>
  <c r="C11" i="16" s="1"/>
  <c r="C11" i="15" s="1"/>
  <c r="N25" i="9"/>
  <c r="H269" i="9"/>
  <c r="H267" i="9"/>
  <c r="G267" i="9"/>
  <c r="H266" i="9"/>
  <c r="G269" i="9"/>
  <c r="G266" i="9"/>
  <c r="I265" i="9"/>
  <c r="G265" i="9" s="1"/>
  <c r="G268" i="9"/>
  <c r="L50" i="4"/>
  <c r="K50" i="4"/>
  <c r="J50" i="4"/>
  <c r="I50" i="4"/>
  <c r="H50" i="4"/>
  <c r="E47" i="4"/>
  <c r="H47" i="4" s="1"/>
  <c r="M46" i="4"/>
  <c r="L46" i="4"/>
  <c r="K46" i="4"/>
  <c r="J46" i="4"/>
  <c r="I46" i="4"/>
  <c r="H46" i="4"/>
  <c r="M45" i="4"/>
  <c r="L45" i="4"/>
  <c r="K45" i="4"/>
  <c r="J45" i="4"/>
  <c r="I45" i="4"/>
  <c r="H45" i="4"/>
  <c r="E58" i="4"/>
  <c r="I33" i="4"/>
  <c r="H33" i="4"/>
  <c r="C28" i="4"/>
  <c r="G225" i="9"/>
  <c r="G14" i="4"/>
  <c r="G13" i="4"/>
  <c r="K227" i="9"/>
  <c r="G44" i="4"/>
  <c r="S58" i="1"/>
  <c r="S57" i="1"/>
  <c r="S54" i="1"/>
  <c r="S53" i="1"/>
  <c r="S46" i="1"/>
  <c r="S50" i="1"/>
  <c r="S49" i="1"/>
  <c r="S45" i="1"/>
  <c r="S44" i="1"/>
  <c r="K275" i="22" l="1"/>
  <c r="K174" i="22"/>
  <c r="F196" i="6" s="1"/>
  <c r="L88" i="25"/>
  <c r="I19" i="4"/>
  <c r="L172" i="22"/>
  <c r="L228" i="22"/>
  <c r="M225" i="9"/>
  <c r="L127" i="6"/>
  <c r="N58" i="22"/>
  <c r="N101" i="22" s="1"/>
  <c r="H81" i="25"/>
  <c r="H54" i="25"/>
  <c r="H74" i="25"/>
  <c r="H76" i="25"/>
  <c r="G167" i="22"/>
  <c r="G170" i="22" s="1"/>
  <c r="G60" i="25"/>
  <c r="G106" i="25" s="1"/>
  <c r="J167" i="22"/>
  <c r="J170" i="22" s="1"/>
  <c r="J60" i="25"/>
  <c r="J106" i="25" s="1"/>
  <c r="L67" i="25"/>
  <c r="L69" i="25" s="1"/>
  <c r="L50" i="25"/>
  <c r="L89" i="25"/>
  <c r="N210" i="22"/>
  <c r="N212" i="22"/>
  <c r="N213" i="22"/>
  <c r="O68" i="25"/>
  <c r="O66" i="25"/>
  <c r="O192" i="22"/>
  <c r="P60" i="22"/>
  <c r="I167" i="22"/>
  <c r="I170" i="22" s="1"/>
  <c r="I60" i="25"/>
  <c r="I106" i="25" s="1"/>
  <c r="D64" i="4"/>
  <c r="H71" i="21"/>
  <c r="H70" i="21"/>
  <c r="P277" i="22"/>
  <c r="P178" i="22"/>
  <c r="P259" i="22"/>
  <c r="P176" i="22"/>
  <c r="P258" i="22"/>
  <c r="M68" i="21"/>
  <c r="L134" i="21"/>
  <c r="E127" i="9"/>
  <c r="H116" i="9"/>
  <c r="I116" i="9"/>
  <c r="J116" i="9"/>
  <c r="K116" i="9"/>
  <c r="L116" i="9"/>
  <c r="M116" i="9"/>
  <c r="H117" i="9"/>
  <c r="I117" i="9"/>
  <c r="J117" i="9"/>
  <c r="K117" i="9"/>
  <c r="L117" i="9"/>
  <c r="M117" i="9"/>
  <c r="H121" i="9"/>
  <c r="I121" i="9"/>
  <c r="J121" i="9"/>
  <c r="K121" i="9"/>
  <c r="L121" i="9"/>
  <c r="M121" i="9"/>
  <c r="L99" i="22"/>
  <c r="K166" i="22"/>
  <c r="F194" i="6" s="1"/>
  <c r="J98" i="21"/>
  <c r="J129" i="22" s="1"/>
  <c r="J135" i="21"/>
  <c r="J138" i="21" s="1"/>
  <c r="J83" i="25" s="1"/>
  <c r="I98" i="21"/>
  <c r="I129" i="22" s="1"/>
  <c r="I135" i="21"/>
  <c r="I138" i="21" s="1"/>
  <c r="I83" i="25" s="1"/>
  <c r="H98" i="21"/>
  <c r="H129" i="22" s="1"/>
  <c r="H135" i="21"/>
  <c r="H138" i="21" s="1"/>
  <c r="H83" i="25" s="1"/>
  <c r="G98" i="21"/>
  <c r="G135" i="21"/>
  <c r="K209" i="22"/>
  <c r="K211" i="22"/>
  <c r="K63" i="22"/>
  <c r="K62" i="22"/>
  <c r="K69" i="22"/>
  <c r="L59" i="22"/>
  <c r="L61" i="22"/>
  <c r="L53" i="25" s="1"/>
  <c r="L191" i="22"/>
  <c r="G129" i="22"/>
  <c r="G13" i="22" s="1"/>
  <c r="G101" i="21"/>
  <c r="H97" i="21"/>
  <c r="H70" i="22"/>
  <c r="I70" i="22"/>
  <c r="H73" i="22"/>
  <c r="H286" i="22" s="1"/>
  <c r="H288" i="22" s="1"/>
  <c r="H290" i="22" s="1"/>
  <c r="G132" i="22"/>
  <c r="H128" i="22"/>
  <c r="G223" i="22"/>
  <c r="I190" i="22"/>
  <c r="I222" i="22" s="1"/>
  <c r="I251" i="22" s="1"/>
  <c r="I272" i="22" s="1"/>
  <c r="I285" i="22" s="1"/>
  <c r="G26" i="21"/>
  <c r="H57" i="22"/>
  <c r="H48" i="25" s="1"/>
  <c r="H99" i="22"/>
  <c r="H166" i="22" s="1"/>
  <c r="H68" i="21"/>
  <c r="H134" i="21" s="1"/>
  <c r="L57" i="22"/>
  <c r="L48" i="25" s="1"/>
  <c r="L51" i="25" s="1"/>
  <c r="K190" i="22"/>
  <c r="K222" i="22" s="1"/>
  <c r="P207" i="22"/>
  <c r="H37" i="16"/>
  <c r="J86" i="15"/>
  <c r="J117" i="15" s="1"/>
  <c r="J121" i="15" s="1"/>
  <c r="G21" i="16"/>
  <c r="C7" i="16"/>
  <c r="K211" i="9"/>
  <c r="D133" i="9"/>
  <c r="D101" i="9"/>
  <c r="I101" i="9" s="1"/>
  <c r="D184" i="6"/>
  <c r="I184" i="6" s="1"/>
  <c r="D95" i="9"/>
  <c r="I95" i="9" s="1"/>
  <c r="D178" i="6"/>
  <c r="I178" i="6" s="1"/>
  <c r="K200" i="9"/>
  <c r="H129" i="6"/>
  <c r="I227" i="9"/>
  <c r="J209" i="9"/>
  <c r="G210" i="9"/>
  <c r="K210" i="9"/>
  <c r="G211" i="9"/>
  <c r="D99" i="9"/>
  <c r="I99" i="9" s="1"/>
  <c r="D182" i="6"/>
  <c r="I182" i="6" s="1"/>
  <c r="D93" i="9"/>
  <c r="I93" i="9" s="1"/>
  <c r="D176" i="6"/>
  <c r="I176" i="6" s="1"/>
  <c r="H200" i="9"/>
  <c r="I129" i="6"/>
  <c r="J227" i="9"/>
  <c r="G209" i="9"/>
  <c r="K209" i="9"/>
  <c r="H210" i="9"/>
  <c r="H211" i="9"/>
  <c r="E118" i="9"/>
  <c r="D97" i="9"/>
  <c r="I97" i="9" s="1"/>
  <c r="D180" i="6"/>
  <c r="I180" i="6" s="1"/>
  <c r="G115" i="9"/>
  <c r="I200" i="9"/>
  <c r="G227" i="9"/>
  <c r="G228" i="9" s="1"/>
  <c r="G226" i="9"/>
  <c r="H209" i="9"/>
  <c r="I210" i="9"/>
  <c r="I211" i="9"/>
  <c r="M25" i="9"/>
  <c r="H271" i="9"/>
  <c r="O25" i="9"/>
  <c r="G25" i="9"/>
  <c r="J200" i="9"/>
  <c r="G129" i="6"/>
  <c r="H227" i="9"/>
  <c r="G127" i="6"/>
  <c r="H225" i="9"/>
  <c r="I209" i="9"/>
  <c r="J210" i="9"/>
  <c r="J211" i="9"/>
  <c r="G187" i="9"/>
  <c r="Q231" i="9" s="1"/>
  <c r="G253" i="9"/>
  <c r="G17" i="9"/>
  <c r="G19" i="9" s="1"/>
  <c r="H265" i="9"/>
  <c r="J111" i="6"/>
  <c r="J113" i="6"/>
  <c r="G113" i="6"/>
  <c r="D65" i="4"/>
  <c r="G92" i="4"/>
  <c r="E103" i="4" s="1"/>
  <c r="G27" i="4"/>
  <c r="H27" i="4" s="1"/>
  <c r="I27" i="4" s="1"/>
  <c r="J27" i="4" s="1"/>
  <c r="K27" i="4" s="1"/>
  <c r="L27" i="4" s="1"/>
  <c r="M27" i="4" s="1"/>
  <c r="D66" i="4"/>
  <c r="G84" i="4"/>
  <c r="E76" i="4"/>
  <c r="I47" i="4"/>
  <c r="M47" i="4"/>
  <c r="J47" i="4"/>
  <c r="K47" i="4"/>
  <c r="L47" i="4"/>
  <c r="K64" i="4"/>
  <c r="G112" i="6"/>
  <c r="H201" i="9"/>
  <c r="H97" i="6"/>
  <c r="I97" i="6"/>
  <c r="J97" i="6"/>
  <c r="H111" i="6"/>
  <c r="K113" i="6"/>
  <c r="H112" i="6"/>
  <c r="I112" i="6"/>
  <c r="J198" i="9"/>
  <c r="J112" i="6"/>
  <c r="J129" i="6"/>
  <c r="G32" i="4"/>
  <c r="G111" i="6"/>
  <c r="G128" i="6"/>
  <c r="I111" i="6"/>
  <c r="K97" i="6"/>
  <c r="K128" i="6"/>
  <c r="H113" i="6"/>
  <c r="I113" i="6"/>
  <c r="G11" i="4"/>
  <c r="H11" i="4" s="1"/>
  <c r="I11" i="4" s="1"/>
  <c r="J11" i="4" s="1"/>
  <c r="K11" i="4" s="1"/>
  <c r="L11" i="4" s="1"/>
  <c r="M11" i="4" s="1"/>
  <c r="K198" i="9"/>
  <c r="H44" i="4"/>
  <c r="H115" i="9" s="1"/>
  <c r="J19" i="4" l="1"/>
  <c r="M88" i="25"/>
  <c r="M172" i="22"/>
  <c r="M228" i="22"/>
  <c r="N225" i="9"/>
  <c r="M127" i="6"/>
  <c r="J33" i="4"/>
  <c r="O58" i="22"/>
  <c r="O101" i="22" s="1"/>
  <c r="L275" i="22"/>
  <c r="L174" i="22"/>
  <c r="G196" i="6" s="1"/>
  <c r="C7" i="15"/>
  <c r="G22" i="16"/>
  <c r="G179" i="22"/>
  <c r="G180" i="22" s="1"/>
  <c r="G75" i="25"/>
  <c r="M67" i="25"/>
  <c r="M69" i="25" s="1"/>
  <c r="M50" i="25"/>
  <c r="M89" i="25"/>
  <c r="K70" i="22"/>
  <c r="K82" i="25"/>
  <c r="K81" i="25"/>
  <c r="K54" i="25"/>
  <c r="P192" i="22"/>
  <c r="P66" i="25"/>
  <c r="P68" i="25"/>
  <c r="O210" i="22"/>
  <c r="O212" i="22"/>
  <c r="O213" i="22"/>
  <c r="S192" i="22"/>
  <c r="V192" i="22"/>
  <c r="W192" i="22"/>
  <c r="S213" i="22"/>
  <c r="V213" i="22"/>
  <c r="W213" i="22"/>
  <c r="S212" i="22"/>
  <c r="V212" i="22"/>
  <c r="W212" i="22"/>
  <c r="S210" i="22"/>
  <c r="V210" i="22"/>
  <c r="W210" i="22"/>
  <c r="H84" i="4"/>
  <c r="I84" i="4"/>
  <c r="H140" i="21"/>
  <c r="H101" i="22"/>
  <c r="H141" i="21"/>
  <c r="H102" i="22"/>
  <c r="H173" i="22" s="1"/>
  <c r="N68" i="21"/>
  <c r="M134" i="21"/>
  <c r="H292" i="22"/>
  <c r="H293" i="22" s="1"/>
  <c r="G127" i="21"/>
  <c r="G147" i="21"/>
  <c r="G148" i="21" s="1"/>
  <c r="H294" i="22"/>
  <c r="E145" i="9"/>
  <c r="G138" i="21"/>
  <c r="M99" i="22"/>
  <c r="L166" i="22"/>
  <c r="G194" i="6" s="1"/>
  <c r="L209" i="22"/>
  <c r="L211" i="22"/>
  <c r="L63" i="22"/>
  <c r="L62" i="22"/>
  <c r="L69" i="22"/>
  <c r="M59" i="22"/>
  <c r="M61" i="22"/>
  <c r="M53" i="25" s="1"/>
  <c r="M191" i="22"/>
  <c r="I97" i="21"/>
  <c r="J97" i="21" s="1"/>
  <c r="H101" i="21"/>
  <c r="H127" i="21" s="1"/>
  <c r="H74" i="22"/>
  <c r="I74" i="22"/>
  <c r="H84" i="22"/>
  <c r="H100" i="22"/>
  <c r="H105" i="22" s="1"/>
  <c r="I69" i="21"/>
  <c r="I128" i="22"/>
  <c r="H132" i="22"/>
  <c r="G158" i="22"/>
  <c r="I233" i="22"/>
  <c r="I242" i="22" s="1"/>
  <c r="K251" i="22"/>
  <c r="K272" i="22" s="1"/>
  <c r="K285" i="22" s="1"/>
  <c r="M57" i="22"/>
  <c r="M48" i="25" s="1"/>
  <c r="M51" i="25" s="1"/>
  <c r="L190" i="22"/>
  <c r="L222" i="22" s="1"/>
  <c r="H190" i="22"/>
  <c r="H222" i="22" s="1"/>
  <c r="H251" i="22" s="1"/>
  <c r="H272" i="22" s="1"/>
  <c r="H285" i="22" s="1"/>
  <c r="G57" i="22"/>
  <c r="G48" i="25" s="1"/>
  <c r="G99" i="22"/>
  <c r="G166" i="22" s="1"/>
  <c r="G68" i="21"/>
  <c r="G134" i="21" s="1"/>
  <c r="L201" i="9"/>
  <c r="J64" i="4"/>
  <c r="M210" i="9"/>
  <c r="L64" i="4"/>
  <c r="H64" i="4"/>
  <c r="M64" i="4"/>
  <c r="I212" i="9"/>
  <c r="G130" i="6"/>
  <c r="G212" i="9"/>
  <c r="I64" i="4"/>
  <c r="H212" i="9"/>
  <c r="G176" i="9"/>
  <c r="K212" i="9"/>
  <c r="M200" i="9"/>
  <c r="M226" i="9"/>
  <c r="M211" i="9"/>
  <c r="M209" i="9"/>
  <c r="M133" i="9"/>
  <c r="K118" i="9"/>
  <c r="M118" i="9"/>
  <c r="K66" i="4"/>
  <c r="D135" i="9"/>
  <c r="G201" i="9"/>
  <c r="G271" i="9"/>
  <c r="L25" i="9"/>
  <c r="F271" i="9" s="1"/>
  <c r="J217" i="9"/>
  <c r="I133" i="9"/>
  <c r="J118" i="9"/>
  <c r="I118" i="9"/>
  <c r="I100" i="6"/>
  <c r="J201" i="9"/>
  <c r="G153" i="9"/>
  <c r="H133" i="9"/>
  <c r="H228" i="9"/>
  <c r="H226" i="9"/>
  <c r="H25" i="9"/>
  <c r="I25" i="9" s="1"/>
  <c r="F25" i="9"/>
  <c r="E25" i="9" s="1"/>
  <c r="J212" i="9"/>
  <c r="K133" i="9"/>
  <c r="J220" i="9"/>
  <c r="J202" i="9"/>
  <c r="H118" i="9"/>
  <c r="K201" i="9"/>
  <c r="H100" i="6"/>
  <c r="I201" i="9"/>
  <c r="I271" i="9"/>
  <c r="P25" i="9"/>
  <c r="J271" i="9" s="1"/>
  <c r="K112" i="6"/>
  <c r="L210" i="9"/>
  <c r="L200" i="9"/>
  <c r="L226" i="9"/>
  <c r="J133" i="9"/>
  <c r="L118" i="9"/>
  <c r="J215" i="9"/>
  <c r="D134" i="9"/>
  <c r="K111" i="6"/>
  <c r="L211" i="9"/>
  <c r="L209" i="9"/>
  <c r="H65" i="4"/>
  <c r="J114" i="6"/>
  <c r="I217" i="9"/>
  <c r="G215" i="9"/>
  <c r="H92" i="4"/>
  <c r="L65" i="4"/>
  <c r="M65" i="4"/>
  <c r="L66" i="4"/>
  <c r="J65" i="4"/>
  <c r="K65" i="4"/>
  <c r="I65" i="4"/>
  <c r="M66" i="4"/>
  <c r="H66" i="4"/>
  <c r="I117" i="6"/>
  <c r="J100" i="6"/>
  <c r="K215" i="9"/>
  <c r="J66" i="4"/>
  <c r="I66" i="4"/>
  <c r="I114" i="6"/>
  <c r="H114" i="6"/>
  <c r="G114" i="6"/>
  <c r="K100" i="6"/>
  <c r="I119" i="6"/>
  <c r="I122" i="6"/>
  <c r="I101" i="6"/>
  <c r="G100" i="6"/>
  <c r="L198" i="9"/>
  <c r="J95" i="6"/>
  <c r="I198" i="9"/>
  <c r="I95" i="6"/>
  <c r="L113" i="6"/>
  <c r="L111" i="6"/>
  <c r="L128" i="6"/>
  <c r="M201" i="9"/>
  <c r="L112" i="6"/>
  <c r="L97" i="6"/>
  <c r="I44" i="4"/>
  <c r="I115" i="9" s="1"/>
  <c r="N88" i="25" l="1"/>
  <c r="K19" i="4"/>
  <c r="N172" i="22"/>
  <c r="N228" i="22"/>
  <c r="O225" i="9"/>
  <c r="N127" i="6"/>
  <c r="K33" i="4"/>
  <c r="O88" i="25"/>
  <c r="L19" i="4"/>
  <c r="O172" i="22"/>
  <c r="P101" i="22"/>
  <c r="O228" i="22"/>
  <c r="P225" i="9"/>
  <c r="O127" i="6"/>
  <c r="L33" i="4"/>
  <c r="M275" i="22"/>
  <c r="M174" i="22"/>
  <c r="H196" i="6" s="1"/>
  <c r="G151" i="21"/>
  <c r="G152" i="21" s="1"/>
  <c r="G83" i="25"/>
  <c r="H88" i="25"/>
  <c r="H82" i="25"/>
  <c r="H179" i="22"/>
  <c r="H180" i="22" s="1"/>
  <c r="H75" i="25"/>
  <c r="H89" i="22"/>
  <c r="H59" i="25" s="1"/>
  <c r="H56" i="25"/>
  <c r="N67" i="25"/>
  <c r="N69" i="25" s="1"/>
  <c r="N50" i="25"/>
  <c r="N89" i="25"/>
  <c r="L70" i="22"/>
  <c r="L54" i="25"/>
  <c r="P213" i="22"/>
  <c r="P210" i="22"/>
  <c r="P212" i="22"/>
  <c r="J84" i="4"/>
  <c r="G86" i="21"/>
  <c r="G154" i="21"/>
  <c r="I71" i="21"/>
  <c r="I70" i="21"/>
  <c r="G184" i="22"/>
  <c r="G117" i="22"/>
  <c r="H172" i="22"/>
  <c r="H174" i="22" s="1"/>
  <c r="I225" i="9"/>
  <c r="H127" i="6"/>
  <c r="H142" i="21"/>
  <c r="O68" i="21"/>
  <c r="N134" i="21"/>
  <c r="H297" i="22"/>
  <c r="H299" i="22" s="1"/>
  <c r="I140" i="21"/>
  <c r="I101" i="22"/>
  <c r="H295" i="22"/>
  <c r="I292" i="22" s="1"/>
  <c r="I293" i="22" s="1"/>
  <c r="N99" i="22"/>
  <c r="M166" i="22"/>
  <c r="H194" i="6" s="1"/>
  <c r="M209" i="22"/>
  <c r="M211" i="22"/>
  <c r="M63" i="22"/>
  <c r="M62" i="22"/>
  <c r="M69" i="22"/>
  <c r="N59" i="22"/>
  <c r="N61" i="22"/>
  <c r="N53" i="25" s="1"/>
  <c r="N191" i="22"/>
  <c r="J101" i="21"/>
  <c r="J127" i="21" s="1"/>
  <c r="I101" i="21"/>
  <c r="I127" i="21" s="1"/>
  <c r="H85" i="22"/>
  <c r="G8" i="25" s="1"/>
  <c r="H90" i="22"/>
  <c r="I90" i="22"/>
  <c r="H93" i="22"/>
  <c r="H158" i="22"/>
  <c r="H262" i="22"/>
  <c r="J128" i="22"/>
  <c r="I132" i="22"/>
  <c r="H223" i="22"/>
  <c r="H254" i="22"/>
  <c r="G190" i="22"/>
  <c r="G222" i="22" s="1"/>
  <c r="G251" i="22" s="1"/>
  <c r="G272" i="22" s="1"/>
  <c r="G285" i="22" s="1"/>
  <c r="I234" i="22"/>
  <c r="I243" i="22" s="1"/>
  <c r="L251" i="22"/>
  <c r="L272" i="22" s="1"/>
  <c r="L285" i="22" s="1"/>
  <c r="N57" i="22"/>
  <c r="N48" i="25" s="1"/>
  <c r="N51" i="25" s="1"/>
  <c r="M190" i="22"/>
  <c r="M222" i="22" s="1"/>
  <c r="K242" i="22"/>
  <c r="L242" i="22"/>
  <c r="L233" i="22" s="1"/>
  <c r="M242" i="22"/>
  <c r="M233" i="22" s="1"/>
  <c r="K114" i="6"/>
  <c r="L133" i="9"/>
  <c r="G217" i="9"/>
  <c r="H101" i="6"/>
  <c r="F265" i="9" a="1"/>
  <c r="F265" i="9" s="1"/>
  <c r="M212" i="9"/>
  <c r="H123" i="6"/>
  <c r="H117" i="6"/>
  <c r="H119" i="6"/>
  <c r="L212" i="9"/>
  <c r="N209" i="9"/>
  <c r="N211" i="9"/>
  <c r="G117" i="6"/>
  <c r="H202" i="9"/>
  <c r="H220" i="9"/>
  <c r="H221" i="9"/>
  <c r="J135" i="9"/>
  <c r="K202" i="9"/>
  <c r="K220" i="9"/>
  <c r="H135" i="9"/>
  <c r="L135" i="9"/>
  <c r="K217" i="9"/>
  <c r="K135" i="9"/>
  <c r="N210" i="9"/>
  <c r="N200" i="9"/>
  <c r="N226" i="9"/>
  <c r="L202" i="9"/>
  <c r="L220" i="9"/>
  <c r="L221" i="9"/>
  <c r="I134" i="9"/>
  <c r="M134" i="9"/>
  <c r="H153" i="9"/>
  <c r="G221" i="9"/>
  <c r="G202" i="9"/>
  <c r="G220" i="9"/>
  <c r="H122" i="6"/>
  <c r="I202" i="9"/>
  <c r="I220" i="9"/>
  <c r="I221" i="9"/>
  <c r="I215" i="9"/>
  <c r="F277" i="9" a="1"/>
  <c r="F277" i="9" s="1"/>
  <c r="H217" i="9"/>
  <c r="H215" i="9"/>
  <c r="M135" i="9"/>
  <c r="K134" i="9"/>
  <c r="H134" i="9"/>
  <c r="I135" i="9"/>
  <c r="J134" i="9"/>
  <c r="L134" i="9"/>
  <c r="I92" i="4"/>
  <c r="J122" i="6"/>
  <c r="J101" i="6"/>
  <c r="J117" i="6"/>
  <c r="J119" i="6"/>
  <c r="L114" i="6"/>
  <c r="M113" i="6"/>
  <c r="M111" i="6"/>
  <c r="H95" i="6"/>
  <c r="G203" i="9"/>
  <c r="H14" i="4"/>
  <c r="J92" i="4"/>
  <c r="M198" i="9"/>
  <c r="K95" i="6"/>
  <c r="K98" i="6" s="1"/>
  <c r="H198" i="9"/>
  <c r="G122" i="6"/>
  <c r="G101" i="6"/>
  <c r="G123" i="6"/>
  <c r="K101" i="6"/>
  <c r="K123" i="6"/>
  <c r="K122" i="6"/>
  <c r="G119" i="6"/>
  <c r="M128" i="6"/>
  <c r="N201" i="9"/>
  <c r="M112" i="6"/>
  <c r="M97" i="6"/>
  <c r="L100" i="6"/>
  <c r="J44" i="4"/>
  <c r="J115" i="9" s="1"/>
  <c r="P88" i="25" l="1"/>
  <c r="M33" i="4"/>
  <c r="M19" i="4"/>
  <c r="P172" i="22"/>
  <c r="P228" i="22"/>
  <c r="P127" i="6"/>
  <c r="Q225" i="9"/>
  <c r="O275" i="22"/>
  <c r="O174" i="22"/>
  <c r="J196" i="6" s="1"/>
  <c r="N275" i="22"/>
  <c r="N174" i="22"/>
  <c r="I196" i="6" s="1"/>
  <c r="G155" i="21"/>
  <c r="O134" i="21"/>
  <c r="P68" i="21"/>
  <c r="P134" i="21" s="1"/>
  <c r="I88" i="25"/>
  <c r="I82" i="25"/>
  <c r="H91" i="25"/>
  <c r="H89" i="25"/>
  <c r="I179" i="22"/>
  <c r="I180" i="22" s="1"/>
  <c r="I75" i="25"/>
  <c r="I109" i="25"/>
  <c r="H109" i="25"/>
  <c r="H60" i="25"/>
  <c r="H106" i="25" s="1"/>
  <c r="O67" i="25"/>
  <c r="O69" i="25" s="1"/>
  <c r="O50" i="25"/>
  <c r="O89" i="25"/>
  <c r="M70" i="22"/>
  <c r="M54" i="25"/>
  <c r="K84" i="4"/>
  <c r="G55" i="6"/>
  <c r="Q34" i="6" s="1"/>
  <c r="G24" i="6"/>
  <c r="H130" i="6"/>
  <c r="H128" i="6"/>
  <c r="I226" i="9"/>
  <c r="I228" i="9"/>
  <c r="I141" i="21"/>
  <c r="I142" i="21" s="1"/>
  <c r="I151" i="21" s="1"/>
  <c r="I102" i="22"/>
  <c r="I173" i="22" s="1"/>
  <c r="I294" i="22"/>
  <c r="I297" i="22" s="1"/>
  <c r="I299" i="22" s="1"/>
  <c r="I172" i="22"/>
  <c r="I174" i="22" s="1"/>
  <c r="I183" i="22" s="1"/>
  <c r="J225" i="9"/>
  <c r="I127" i="6"/>
  <c r="J221" i="9"/>
  <c r="I123" i="6"/>
  <c r="I295" i="22"/>
  <c r="J292" i="22" s="1"/>
  <c r="J293" i="22" s="1"/>
  <c r="H151" i="21"/>
  <c r="H167" i="22"/>
  <c r="H170" i="22" s="1"/>
  <c r="H183" i="22" s="1"/>
  <c r="O99" i="22"/>
  <c r="N166" i="22"/>
  <c r="I194" i="6" s="1"/>
  <c r="N209" i="22"/>
  <c r="N211" i="22"/>
  <c r="N63" i="22"/>
  <c r="N62" i="22"/>
  <c r="N69" i="22"/>
  <c r="P58" i="22"/>
  <c r="O59" i="22"/>
  <c r="O61" i="22"/>
  <c r="O53" i="25" s="1"/>
  <c r="O191" i="22"/>
  <c r="H225" i="22"/>
  <c r="I100" i="22"/>
  <c r="I105" i="22" s="1"/>
  <c r="J69" i="21"/>
  <c r="I158" i="22"/>
  <c r="I262" i="22"/>
  <c r="K128" i="22"/>
  <c r="J132" i="22"/>
  <c r="K233" i="22"/>
  <c r="I235" i="22"/>
  <c r="I244" i="22" s="1"/>
  <c r="M251" i="22"/>
  <c r="M272" i="22" s="1"/>
  <c r="M285" i="22" s="1"/>
  <c r="O57" i="22"/>
  <c r="N190" i="22"/>
  <c r="N222" i="22" s="1"/>
  <c r="K243" i="22"/>
  <c r="L243" i="22"/>
  <c r="L234" i="22" s="1"/>
  <c r="M243" i="22"/>
  <c r="M234" i="22" s="1"/>
  <c r="N243" i="22"/>
  <c r="N234" i="22" s="1"/>
  <c r="K203" i="9"/>
  <c r="M202" i="9"/>
  <c r="K92" i="4"/>
  <c r="J153" i="9"/>
  <c r="J203" i="9"/>
  <c r="O210" i="9"/>
  <c r="O200" i="9"/>
  <c r="O226" i="9"/>
  <c r="O209" i="9"/>
  <c r="O211" i="9"/>
  <c r="I153" i="9"/>
  <c r="I203" i="9"/>
  <c r="N212" i="9"/>
  <c r="J103" i="6"/>
  <c r="G12" i="4"/>
  <c r="G28" i="4" s="1"/>
  <c r="M114" i="6"/>
  <c r="N198" i="9"/>
  <c r="L95" i="6"/>
  <c r="L98" i="6" s="1"/>
  <c r="G204" i="9"/>
  <c r="N128" i="6"/>
  <c r="O201" i="9"/>
  <c r="N112" i="6"/>
  <c r="N97" i="6"/>
  <c r="N113" i="6"/>
  <c r="N111" i="6"/>
  <c r="M100" i="6"/>
  <c r="I204" i="9"/>
  <c r="H103" i="6"/>
  <c r="L101" i="6"/>
  <c r="G34" i="4"/>
  <c r="G95" i="6"/>
  <c r="J204" i="9"/>
  <c r="I103" i="6"/>
  <c r="H34" i="4"/>
  <c r="G198" i="9"/>
  <c r="S203" i="9" s="1"/>
  <c r="K44" i="4"/>
  <c r="K115" i="9" s="1"/>
  <c r="P275" i="22" l="1"/>
  <c r="P174" i="22"/>
  <c r="K196" i="6" s="1"/>
  <c r="I91" i="25"/>
  <c r="I89" i="25"/>
  <c r="J179" i="22"/>
  <c r="J180" i="22" s="1"/>
  <c r="J75" i="25"/>
  <c r="J109" i="25"/>
  <c r="N70" i="22"/>
  <c r="N54" i="25"/>
  <c r="P57" i="22"/>
  <c r="O48" i="25"/>
  <c r="P50" i="25"/>
  <c r="P89" i="25"/>
  <c r="P67" i="25"/>
  <c r="P69" i="25" s="1"/>
  <c r="P128" i="6"/>
  <c r="P97" i="6"/>
  <c r="K153" i="9"/>
  <c r="L84" i="4"/>
  <c r="J71" i="21"/>
  <c r="J70" i="21"/>
  <c r="O166" i="22"/>
  <c r="P99" i="22"/>
  <c r="J294" i="22"/>
  <c r="J297" i="22" s="1"/>
  <c r="J299" i="22" s="1"/>
  <c r="G29" i="4" s="1"/>
  <c r="I128" i="6"/>
  <c r="I130" i="6"/>
  <c r="J226" i="9"/>
  <c r="J228" i="9"/>
  <c r="J295" i="22"/>
  <c r="K292" i="22" s="1"/>
  <c r="O209" i="22"/>
  <c r="O211" i="22"/>
  <c r="S191" i="22"/>
  <c r="V191" i="22"/>
  <c r="W191" i="22"/>
  <c r="O63" i="22"/>
  <c r="O62" i="22"/>
  <c r="O69" i="22"/>
  <c r="P59" i="22"/>
  <c r="P61" i="22"/>
  <c r="P53" i="25" s="1"/>
  <c r="P191" i="22"/>
  <c r="J158" i="22"/>
  <c r="J262" i="22"/>
  <c r="I223" i="22"/>
  <c r="I254" i="22"/>
  <c r="K234" i="22"/>
  <c r="I236" i="22"/>
  <c r="I245" i="22" s="1"/>
  <c r="N251" i="22"/>
  <c r="N272" i="22" s="1"/>
  <c r="N285" i="22" s="1"/>
  <c r="N242" i="22"/>
  <c r="O190" i="22"/>
  <c r="P190" i="22" s="1"/>
  <c r="K244" i="22"/>
  <c r="L244" i="22"/>
  <c r="L235" i="22" s="1"/>
  <c r="M244" i="22"/>
  <c r="M235" i="22" s="1"/>
  <c r="N244" i="22"/>
  <c r="N235" i="22" s="1"/>
  <c r="K204" i="9"/>
  <c r="S204" i="9"/>
  <c r="L92" i="4"/>
  <c r="N202" i="9"/>
  <c r="P211" i="9"/>
  <c r="P209" i="9"/>
  <c r="O212" i="9"/>
  <c r="S201" i="9"/>
  <c r="S200" i="9"/>
  <c r="S202" i="9"/>
  <c r="H203" i="9"/>
  <c r="G168" i="9" s="1"/>
  <c r="J168" i="9" s="1"/>
  <c r="P210" i="9"/>
  <c r="P200" i="9"/>
  <c r="P226" i="9"/>
  <c r="G15" i="4"/>
  <c r="J106" i="6"/>
  <c r="O128" i="6"/>
  <c r="O112" i="6"/>
  <c r="O97" i="6"/>
  <c r="G103" i="6"/>
  <c r="H106" i="6"/>
  <c r="N100" i="6"/>
  <c r="N114" i="6"/>
  <c r="O113" i="6"/>
  <c r="O111" i="6"/>
  <c r="I106" i="6"/>
  <c r="M101" i="6"/>
  <c r="G205" i="9"/>
  <c r="O198" i="9"/>
  <c r="M95" i="6"/>
  <c r="M98" i="6" s="1"/>
  <c r="L44" i="4"/>
  <c r="P166" i="22" l="1"/>
  <c r="K194" i="6" s="1"/>
  <c r="J194" i="6"/>
  <c r="O70" i="22"/>
  <c r="O54" i="25"/>
  <c r="O51" i="25"/>
  <c r="P48" i="25"/>
  <c r="P51" i="25" s="1"/>
  <c r="M84" i="4"/>
  <c r="J140" i="21"/>
  <c r="J101" i="22"/>
  <c r="J141" i="21"/>
  <c r="J102" i="22"/>
  <c r="J173" i="22" s="1"/>
  <c r="L115" i="9"/>
  <c r="M44" i="4"/>
  <c r="L153" i="9"/>
  <c r="M92" i="4"/>
  <c r="G16" i="4"/>
  <c r="G30" i="4"/>
  <c r="P211" i="22"/>
  <c r="P209" i="22"/>
  <c r="P63" i="22"/>
  <c r="P62" i="22"/>
  <c r="P69" i="22"/>
  <c r="S211" i="22"/>
  <c r="V211" i="22"/>
  <c r="W211" i="22"/>
  <c r="S209" i="22"/>
  <c r="V209" i="22"/>
  <c r="W209" i="22"/>
  <c r="I225" i="22"/>
  <c r="J100" i="22"/>
  <c r="J105" i="22" s="1"/>
  <c r="J223" i="22"/>
  <c r="K235" i="22"/>
  <c r="O222" i="22"/>
  <c r="P222" i="22" s="1"/>
  <c r="N233" i="22"/>
  <c r="K245" i="22"/>
  <c r="L245" i="22"/>
  <c r="L236" i="22" s="1"/>
  <c r="M245" i="22"/>
  <c r="M236" i="22" s="1"/>
  <c r="N245" i="22"/>
  <c r="N236" i="22" s="1"/>
  <c r="O245" i="22"/>
  <c r="O236" i="22" s="1"/>
  <c r="G177" i="9"/>
  <c r="K230" i="9"/>
  <c r="J205" i="9"/>
  <c r="J241" i="9" s="1"/>
  <c r="O202" i="9"/>
  <c r="P201" i="9"/>
  <c r="K205" i="9"/>
  <c r="K241" i="9" s="1"/>
  <c r="S205" i="9"/>
  <c r="G15" i="9"/>
  <c r="M153" i="9"/>
  <c r="Q200" i="9"/>
  <c r="Q210" i="9"/>
  <c r="Q226" i="9"/>
  <c r="Q209" i="9"/>
  <c r="Q211" i="9"/>
  <c r="I205" i="9"/>
  <c r="I241" i="9" s="1"/>
  <c r="H204" i="9"/>
  <c r="P212" i="9"/>
  <c r="G17" i="4"/>
  <c r="J107" i="6"/>
  <c r="J143" i="6" s="1"/>
  <c r="K222" i="9"/>
  <c r="O114" i="6"/>
  <c r="P113" i="6"/>
  <c r="P111" i="6"/>
  <c r="P112" i="6"/>
  <c r="Q201" i="9"/>
  <c r="I107" i="6"/>
  <c r="I143" i="6" s="1"/>
  <c r="J222" i="9"/>
  <c r="O100" i="6"/>
  <c r="H107" i="6"/>
  <c r="H143" i="6" s="1"/>
  <c r="I222" i="9"/>
  <c r="P198" i="9"/>
  <c r="N95" i="6"/>
  <c r="N98" i="6" s="1"/>
  <c r="N101" i="6"/>
  <c r="G106" i="6"/>
  <c r="J88" i="25" l="1"/>
  <c r="J82" i="25"/>
  <c r="G31" i="4"/>
  <c r="J93" i="25"/>
  <c r="J132" i="6"/>
  <c r="P54" i="25"/>
  <c r="G37" i="25"/>
  <c r="C25" i="6"/>
  <c r="D38" i="25"/>
  <c r="D37" i="25"/>
  <c r="C12" i="25"/>
  <c r="G84" i="6"/>
  <c r="C59" i="6"/>
  <c r="C27" i="6"/>
  <c r="D85" i="6"/>
  <c r="D84" i="6"/>
  <c r="G19" i="4"/>
  <c r="J172" i="22"/>
  <c r="J174" i="22" s="1"/>
  <c r="J183" i="22" s="1"/>
  <c r="K225" i="9"/>
  <c r="J127" i="6"/>
  <c r="G33" i="4"/>
  <c r="K221" i="9"/>
  <c r="J123" i="6"/>
  <c r="J142" i="21"/>
  <c r="J151" i="21" s="1"/>
  <c r="G36" i="4"/>
  <c r="P70" i="22"/>
  <c r="K223" i="22"/>
  <c r="J225" i="22"/>
  <c r="K100" i="22"/>
  <c r="J254" i="22"/>
  <c r="K236" i="22"/>
  <c r="J245" i="22"/>
  <c r="I237" i="22"/>
  <c r="O251" i="22"/>
  <c r="P251" i="22" s="1"/>
  <c r="O242" i="22"/>
  <c r="O243" i="22"/>
  <c r="O244" i="22"/>
  <c r="Q212" i="9"/>
  <c r="H205" i="9"/>
  <c r="H241" i="9" s="1"/>
  <c r="M115" i="9"/>
  <c r="P202" i="9"/>
  <c r="T202" i="9"/>
  <c r="T200" i="9"/>
  <c r="T201" i="9"/>
  <c r="G222" i="9"/>
  <c r="J124" i="6"/>
  <c r="P114" i="6"/>
  <c r="H124" i="6"/>
  <c r="P100" i="6"/>
  <c r="O95" i="6"/>
  <c r="O98" i="6" s="1"/>
  <c r="I124" i="6"/>
  <c r="G216" i="9"/>
  <c r="G107" i="6"/>
  <c r="G143" i="6" s="1"/>
  <c r="H222" i="9"/>
  <c r="O101" i="6"/>
  <c r="J91" i="25" l="1"/>
  <c r="J89" i="25"/>
  <c r="G80" i="6"/>
  <c r="G82" i="6" s="1"/>
  <c r="G33" i="25"/>
  <c r="G35" i="25" s="1"/>
  <c r="P95" i="6"/>
  <c r="P98" i="6" s="1"/>
  <c r="K233" i="9"/>
  <c r="K234" i="9" s="1"/>
  <c r="J128" i="6"/>
  <c r="J130" i="6"/>
  <c r="K228" i="9"/>
  <c r="K226" i="9"/>
  <c r="K232" i="9"/>
  <c r="L223" i="22"/>
  <c r="K224" i="22"/>
  <c r="O235" i="22"/>
  <c r="J244" i="22"/>
  <c r="O234" i="22"/>
  <c r="J243" i="22"/>
  <c r="O233" i="22"/>
  <c r="J242" i="22"/>
  <c r="O272" i="22"/>
  <c r="I238" i="22"/>
  <c r="I247" i="22" s="1"/>
  <c r="I246" i="22"/>
  <c r="P242" i="22"/>
  <c r="P233" i="22" s="1"/>
  <c r="P243" i="22"/>
  <c r="P234" i="22" s="1"/>
  <c r="P244" i="22"/>
  <c r="P235" i="22" s="1"/>
  <c r="P245" i="22"/>
  <c r="P236" i="22" s="1"/>
  <c r="J236" i="22"/>
  <c r="Q198" i="9"/>
  <c r="Q202" i="9"/>
  <c r="G124" i="6"/>
  <c r="P101" i="6"/>
  <c r="O285" i="22" l="1"/>
  <c r="P285" i="22" s="1"/>
  <c r="P272" i="22"/>
  <c r="M223" i="22"/>
  <c r="L224" i="22"/>
  <c r="K246" i="22"/>
  <c r="L246" i="22"/>
  <c r="L237" i="22" s="1"/>
  <c r="M246" i="22"/>
  <c r="M237" i="22" s="1"/>
  <c r="N246" i="22"/>
  <c r="N237" i="22" s="1"/>
  <c r="O246" i="22"/>
  <c r="O237" i="22" s="1"/>
  <c r="P246" i="22"/>
  <c r="P237" i="22" s="1"/>
  <c r="K247" i="22"/>
  <c r="L247" i="22"/>
  <c r="L238" i="22" s="1"/>
  <c r="M247" i="22"/>
  <c r="M238" i="22" s="1"/>
  <c r="N247" i="22"/>
  <c r="N238" i="22" s="1"/>
  <c r="O247" i="22"/>
  <c r="O238" i="22" s="1"/>
  <c r="P247" i="22"/>
  <c r="P238" i="22" s="1"/>
  <c r="J233" i="22"/>
  <c r="J234" i="22"/>
  <c r="J235" i="22"/>
  <c r="H216" i="9"/>
  <c r="H244" i="9"/>
  <c r="G118" i="6"/>
  <c r="N223" i="22" l="1"/>
  <c r="M224" i="22"/>
  <c r="K238" i="22"/>
  <c r="J238" i="22" s="1"/>
  <c r="J247" i="22"/>
  <c r="K237" i="22"/>
  <c r="J237" i="22" s="1"/>
  <c r="K239" i="22" s="1" a="1"/>
  <c r="P227" i="22" s="1"/>
  <c r="J246" i="22"/>
  <c r="I216" i="9"/>
  <c r="I244" i="9"/>
  <c r="H118" i="6"/>
  <c r="H146" i="6"/>
  <c r="O223" i="22" l="1"/>
  <c r="P223" i="22" s="1"/>
  <c r="P224" i="22" s="1"/>
  <c r="N224" i="22"/>
  <c r="L227" i="22"/>
  <c r="L230" i="22" s="1"/>
  <c r="M227" i="22"/>
  <c r="M230" i="22" s="1"/>
  <c r="N227" i="22"/>
  <c r="N230" i="22" s="1"/>
  <c r="O227" i="22"/>
  <c r="K239" i="22"/>
  <c r="K227" i="22" s="1"/>
  <c r="K230" i="22" s="1"/>
  <c r="J216" i="9"/>
  <c r="J244" i="9"/>
  <c r="I118" i="6"/>
  <c r="I146" i="6"/>
  <c r="P230" i="22" l="1"/>
  <c r="P72" i="22" s="1"/>
  <c r="P90" i="25" s="1"/>
  <c r="P91" i="25" s="1"/>
  <c r="O224" i="22"/>
  <c r="O230" i="22" s="1"/>
  <c r="K72" i="22"/>
  <c r="K104" i="22"/>
  <c r="K105" i="22" s="1"/>
  <c r="O72" i="22"/>
  <c r="O104" i="22"/>
  <c r="N72" i="22"/>
  <c r="N104" i="22"/>
  <c r="M72" i="22"/>
  <c r="M104" i="22"/>
  <c r="L72" i="22"/>
  <c r="L104" i="22"/>
  <c r="K216" i="9"/>
  <c r="K244" i="9"/>
  <c r="G20" i="4"/>
  <c r="J118" i="6"/>
  <c r="J146" i="6"/>
  <c r="I18" i="4" l="1"/>
  <c r="L90" i="25"/>
  <c r="L91" i="25" s="1"/>
  <c r="J18" i="4"/>
  <c r="M90" i="25"/>
  <c r="M91" i="25" s="1"/>
  <c r="K18" i="4"/>
  <c r="N90" i="25"/>
  <c r="N91" i="25" s="1"/>
  <c r="L18" i="4"/>
  <c r="O90" i="25"/>
  <c r="O91" i="25" s="1"/>
  <c r="H18" i="4"/>
  <c r="K90" i="25"/>
  <c r="K91" i="25" s="1"/>
  <c r="P104" i="22"/>
  <c r="L73" i="22"/>
  <c r="L286" i="22" s="1"/>
  <c r="L168" i="22"/>
  <c r="M73" i="22"/>
  <c r="M168" i="22"/>
  <c r="N73" i="22"/>
  <c r="N286" i="22" s="1"/>
  <c r="N168" i="22"/>
  <c r="O73" i="22"/>
  <c r="O286" i="22" s="1"/>
  <c r="O168" i="22"/>
  <c r="K73" i="22"/>
  <c r="K286" i="22" s="1"/>
  <c r="K168" i="22"/>
  <c r="L74" i="22"/>
  <c r="L84" i="22"/>
  <c r="M74" i="22"/>
  <c r="M84" i="22"/>
  <c r="N74" i="22"/>
  <c r="N84" i="22"/>
  <c r="O74" i="22"/>
  <c r="O84" i="22"/>
  <c r="L100" i="22"/>
  <c r="L105" i="22" s="1"/>
  <c r="K254" i="22"/>
  <c r="L254" i="22"/>
  <c r="K74" i="22"/>
  <c r="K84" i="22"/>
  <c r="K104" i="6" l="1"/>
  <c r="K57" i="25"/>
  <c r="K56" i="25"/>
  <c r="O104" i="6"/>
  <c r="O57" i="25"/>
  <c r="O56" i="25"/>
  <c r="N104" i="6"/>
  <c r="N57" i="25"/>
  <c r="N56" i="25"/>
  <c r="M104" i="6"/>
  <c r="M57" i="25"/>
  <c r="M56" i="25"/>
  <c r="L104" i="6"/>
  <c r="L57" i="25"/>
  <c r="L56" i="25"/>
  <c r="M286" i="22"/>
  <c r="K85" i="22"/>
  <c r="O85" i="22"/>
  <c r="N85" i="22"/>
  <c r="M85" i="22"/>
  <c r="L85" i="22"/>
  <c r="M100" i="22"/>
  <c r="M105" i="22" s="1"/>
  <c r="M254" i="22"/>
  <c r="L227" i="9"/>
  <c r="L228" i="9" s="1"/>
  <c r="N100" i="22" l="1"/>
  <c r="N105" i="22" s="1"/>
  <c r="N254" i="22"/>
  <c r="L129" i="6"/>
  <c r="L130" i="6" s="1"/>
  <c r="O227" i="9"/>
  <c r="O228" i="9" s="1"/>
  <c r="K129" i="6"/>
  <c r="K130" i="6" s="1"/>
  <c r="H32" i="4"/>
  <c r="K96" i="25" s="1"/>
  <c r="O100" i="22" l="1"/>
  <c r="O105" i="22" s="1"/>
  <c r="O254" i="22"/>
  <c r="K135" i="6"/>
  <c r="L233" i="9"/>
  <c r="J32" i="4"/>
  <c r="N227" i="9"/>
  <c r="N228" i="9" s="1"/>
  <c r="I32" i="4"/>
  <c r="M227" i="9"/>
  <c r="M228" i="9" s="1"/>
  <c r="M129" i="6"/>
  <c r="M130" i="6" s="1"/>
  <c r="K32" i="4"/>
  <c r="N129" i="6"/>
  <c r="N130" i="6" s="1"/>
  <c r="P100" i="22" l="1"/>
  <c r="O129" i="6"/>
  <c r="O130" i="6" s="1"/>
  <c r="P227" i="9"/>
  <c r="P228" i="9" s="1"/>
  <c r="N203" i="9"/>
  <c r="L203" i="9"/>
  <c r="L32" i="4"/>
  <c r="M103" i="6"/>
  <c r="J12" i="4"/>
  <c r="J28" i="4" s="1"/>
  <c r="K103" i="6"/>
  <c r="H12" i="4"/>
  <c r="H28" i="4" s="1"/>
  <c r="M203" i="9" l="1"/>
  <c r="O203" i="9"/>
  <c r="P203" i="9"/>
  <c r="T203" i="9"/>
  <c r="I12" i="4"/>
  <c r="I28" i="4" s="1"/>
  <c r="L103" i="6"/>
  <c r="O103" i="6"/>
  <c r="L12" i="4"/>
  <c r="L28" i="4" s="1"/>
  <c r="K12" i="4"/>
  <c r="K28" i="4" s="1"/>
  <c r="N103" i="6"/>
  <c r="H252" i="22" l="1"/>
  <c r="G90" i="21" l="1"/>
  <c r="G130" i="21" s="1"/>
  <c r="G129" i="21"/>
  <c r="H150" i="21"/>
  <c r="H152" i="21"/>
  <c r="G121" i="22"/>
  <c r="G160" i="22" s="1"/>
  <c r="G161" i="22" s="1"/>
  <c r="H182" i="22"/>
  <c r="H184" i="22"/>
  <c r="I182" i="22" s="1"/>
  <c r="I184" i="22"/>
  <c r="J182" i="22" s="1"/>
  <c r="J184" i="22"/>
  <c r="K182" i="22" s="1"/>
  <c r="G144" i="6"/>
  <c r="H208" i="9"/>
  <c r="H239" i="9"/>
  <c r="H242" i="9"/>
  <c r="H243" i="9"/>
  <c r="I150" i="21" l="1"/>
  <c r="I152" i="21" s="1"/>
  <c r="H86" i="21"/>
  <c r="H155" i="21" s="1"/>
  <c r="H154" i="21" l="1"/>
  <c r="H90" i="21"/>
  <c r="H130" i="21" s="1"/>
  <c r="H117" i="22"/>
  <c r="J150" i="21"/>
  <c r="J152" i="21" s="1"/>
  <c r="I86" i="21"/>
  <c r="I155" i="21" s="1"/>
  <c r="I117" i="22" l="1"/>
  <c r="I154" i="21"/>
  <c r="H129" i="21"/>
  <c r="H121" i="22"/>
  <c r="H264" i="22"/>
  <c r="H266" i="22" s="1"/>
  <c r="I252" i="22" s="1"/>
  <c r="I90" i="21"/>
  <c r="I130" i="21" s="1"/>
  <c r="I121" i="22"/>
  <c r="I264" i="22"/>
  <c r="I266" i="22" s="1"/>
  <c r="J252" i="22" s="1"/>
  <c r="J86" i="21"/>
  <c r="J155" i="21" s="1"/>
  <c r="I160" i="22" l="1"/>
  <c r="I161" i="22" s="1"/>
  <c r="I108" i="25"/>
  <c r="I65" i="25"/>
  <c r="I107" i="25" s="1"/>
  <c r="I104" i="25"/>
  <c r="H160" i="22"/>
  <c r="H161" i="22" s="1"/>
  <c r="H108" i="25"/>
  <c r="H65" i="25"/>
  <c r="H107" i="25" s="1"/>
  <c r="H104" i="25"/>
  <c r="J154" i="21"/>
  <c r="G14" i="21" s="1"/>
  <c r="I129" i="21"/>
  <c r="J90" i="21"/>
  <c r="J130" i="21" s="1"/>
  <c r="J117" i="22"/>
  <c r="K87" i="22" s="1"/>
  <c r="H13" i="4" s="1"/>
  <c r="H110" i="6"/>
  <c r="H144" i="6" s="1"/>
  <c r="H141" i="6"/>
  <c r="H145" i="6"/>
  <c r="I208" i="9"/>
  <c r="I242" i="9" s="1"/>
  <c r="I239" i="9"/>
  <c r="I243" i="9"/>
  <c r="J121" i="22"/>
  <c r="J264" i="22"/>
  <c r="G74" i="4"/>
  <c r="G21" i="4" s="1"/>
  <c r="G22" i="4" s="1"/>
  <c r="G122" i="9"/>
  <c r="J266" i="22"/>
  <c r="K252" i="22" s="1"/>
  <c r="I110" i="6"/>
  <c r="I144" i="6" s="1"/>
  <c r="I141" i="6"/>
  <c r="I145" i="6"/>
  <c r="J208" i="9"/>
  <c r="J242" i="9" s="1"/>
  <c r="J239" i="9"/>
  <c r="J243" i="9"/>
  <c r="J160" i="22" l="1"/>
  <c r="J161" i="22" s="1"/>
  <c r="J108" i="25"/>
  <c r="J65" i="25"/>
  <c r="J107" i="25" s="1"/>
  <c r="J104" i="25"/>
  <c r="J129" i="21"/>
  <c r="G13" i="21" s="1"/>
  <c r="H72" i="4"/>
  <c r="K264" i="22"/>
  <c r="G143" i="9"/>
  <c r="K89" i="22"/>
  <c r="K59" i="25" s="1"/>
  <c r="J110" i="6"/>
  <c r="J144" i="6" s="1"/>
  <c r="J141" i="6"/>
  <c r="J145" i="6"/>
  <c r="K208" i="9"/>
  <c r="K242" i="9" s="1"/>
  <c r="K239" i="9"/>
  <c r="K243" i="9"/>
  <c r="K287" i="22" l="1"/>
  <c r="K288" i="22"/>
  <c r="K290" i="22" s="1"/>
  <c r="H15" i="4"/>
  <c r="K293" i="22"/>
  <c r="K294" i="22" s="1"/>
  <c r="K297" i="22"/>
  <c r="K299" i="22" s="1"/>
  <c r="K92" i="22" s="1"/>
  <c r="H141" i="9"/>
  <c r="K295" i="22"/>
  <c r="L292" i="22" s="1"/>
  <c r="K90" i="22"/>
  <c r="K106" i="6"/>
  <c r="L204" i="9"/>
  <c r="K93" i="22" l="1"/>
  <c r="H16" i="4"/>
  <c r="K129" i="22"/>
  <c r="K167" i="22"/>
  <c r="K170" i="22" s="1"/>
  <c r="K273" i="22"/>
  <c r="K107" i="6"/>
  <c r="K143" i="6" s="1"/>
  <c r="L205" i="9"/>
  <c r="L241" i="9" s="1"/>
  <c r="L230" i="9"/>
  <c r="K274" i="22" l="1"/>
  <c r="F195" i="6"/>
  <c r="F198" i="6" s="1"/>
  <c r="K60" i="25"/>
  <c r="K106" i="25" s="1"/>
  <c r="H29" i="4"/>
  <c r="H58" i="4" s="1"/>
  <c r="H17" i="4"/>
  <c r="L231" i="9"/>
  <c r="L234" i="9"/>
  <c r="K124" i="6"/>
  <c r="L222" i="9"/>
  <c r="H30" i="4" l="1"/>
  <c r="K93" i="25" s="1"/>
  <c r="H76" i="4"/>
  <c r="H127" i="9"/>
  <c r="H145" i="9"/>
  <c r="L236" i="9"/>
  <c r="K94" i="25" l="1"/>
  <c r="K97" i="25"/>
  <c r="H31" i="4"/>
  <c r="K132" i="6"/>
  <c r="P113" i="22"/>
  <c r="O115" i="22"/>
  <c r="P115" i="22"/>
  <c r="O197" i="22"/>
  <c r="P197" i="22"/>
  <c r="O199" i="22"/>
  <c r="P199" i="22"/>
  <c r="O215" i="22"/>
  <c r="P215" i="22"/>
  <c r="K99" i="25" l="1"/>
  <c r="K133" i="6"/>
  <c r="K136" i="6"/>
  <c r="N115" i="22"/>
  <c r="O169" i="22"/>
  <c r="N197" i="22"/>
  <c r="N199" i="22"/>
  <c r="N215" i="22"/>
  <c r="P216" i="22" s="1"/>
  <c r="O216" i="22"/>
  <c r="L20" i="4" s="1"/>
  <c r="O256" i="22"/>
  <c r="L34" i="4"/>
  <c r="O96" i="25" s="1"/>
  <c r="O135" i="6"/>
  <c r="P233" i="9"/>
  <c r="M115" i="22"/>
  <c r="N169" i="22"/>
  <c r="M197" i="22"/>
  <c r="M199" i="22"/>
  <c r="M215" i="22"/>
  <c r="N216" i="22"/>
  <c r="K20" i="4" s="1"/>
  <c r="N256" i="22"/>
  <c r="K34" i="4"/>
  <c r="N96" i="25" s="1"/>
  <c r="N135" i="6"/>
  <c r="O233" i="9"/>
  <c r="L115" i="22"/>
  <c r="L169" i="22"/>
  <c r="M169" i="22"/>
  <c r="L197" i="22"/>
  <c r="S197" i="22"/>
  <c r="L199" i="22"/>
  <c r="S199" i="22"/>
  <c r="V199" i="22"/>
  <c r="W199" i="22"/>
  <c r="L215" i="22"/>
  <c r="S215" i="22"/>
  <c r="V215" i="22"/>
  <c r="W215" i="22"/>
  <c r="L216" i="22"/>
  <c r="I20" i="4" s="1"/>
  <c r="M216" i="22"/>
  <c r="J20" i="4" s="1"/>
  <c r="S216" i="22"/>
  <c r="V216" i="22"/>
  <c r="W216" i="22"/>
  <c r="L256" i="22"/>
  <c r="M256" i="22"/>
  <c r="I34" i="4"/>
  <c r="L96" i="25" s="1"/>
  <c r="J34" i="4"/>
  <c r="M96" i="25" s="1"/>
  <c r="L135" i="6"/>
  <c r="M135" i="6"/>
  <c r="M233" i="9"/>
  <c r="N233" i="9"/>
  <c r="K138" i="6" l="1"/>
  <c r="M20" i="4"/>
  <c r="P256" i="22"/>
  <c r="M34" i="4"/>
  <c r="P169" i="22"/>
  <c r="K279" i="22"/>
  <c r="K281" i="22"/>
  <c r="K130" i="22" s="1"/>
  <c r="L128" i="22" l="1"/>
  <c r="K132" i="22"/>
  <c r="K109" i="25" s="1"/>
  <c r="K179" i="22" l="1"/>
  <c r="K262" i="22"/>
  <c r="K146" i="6"/>
  <c r="L244" i="9"/>
  <c r="K266" i="22" l="1"/>
  <c r="K119" i="22" l="1"/>
  <c r="I52" i="4" s="1"/>
  <c r="K156" i="22"/>
  <c r="L252" i="22"/>
  <c r="K76" i="25" l="1"/>
  <c r="K75" i="25"/>
  <c r="K74" i="25"/>
  <c r="I51" i="4"/>
  <c r="L88" i="22"/>
  <c r="K177" i="22"/>
  <c r="K180" i="22" s="1"/>
  <c r="F197" i="6" s="1"/>
  <c r="K117" i="6"/>
  <c r="K118" i="6"/>
  <c r="K119" i="6"/>
  <c r="L215" i="9"/>
  <c r="L216" i="9"/>
  <c r="L217" i="9"/>
  <c r="K158" i="22"/>
  <c r="H35" i="4"/>
  <c r="K183" i="22" l="1"/>
  <c r="L83" i="25"/>
  <c r="L82" i="25"/>
  <c r="L81" i="25"/>
  <c r="H36" i="4"/>
  <c r="K95" i="25" s="1"/>
  <c r="I53" i="4"/>
  <c r="I97" i="4" s="1"/>
  <c r="L278" i="22"/>
  <c r="H93" i="4"/>
  <c r="K134" i="6"/>
  <c r="L232" i="9"/>
  <c r="L289" i="22"/>
  <c r="I14" i="4"/>
  <c r="L122" i="6"/>
  <c r="L123" i="6"/>
  <c r="M220" i="9"/>
  <c r="M221" i="9"/>
  <c r="K184" i="22" l="1"/>
  <c r="H74" i="4"/>
  <c r="H122" i="9"/>
  <c r="H154" i="9"/>
  <c r="K117" i="22" l="1"/>
  <c r="L182" i="22"/>
  <c r="H158" i="9"/>
  <c r="H73" i="4"/>
  <c r="H143" i="9"/>
  <c r="L87" i="22" l="1"/>
  <c r="K121" i="22"/>
  <c r="L264" i="22"/>
  <c r="H59" i="4"/>
  <c r="H142" i="9"/>
  <c r="G259" i="9"/>
  <c r="K160" i="22" l="1"/>
  <c r="K161" i="22" s="1"/>
  <c r="K108" i="25"/>
  <c r="K65" i="25"/>
  <c r="K107" i="25" s="1"/>
  <c r="K104" i="25"/>
  <c r="K110" i="6"/>
  <c r="K144" i="6" s="1"/>
  <c r="K141" i="6"/>
  <c r="K145" i="6"/>
  <c r="L208" i="9"/>
  <c r="L242" i="9" s="1"/>
  <c r="L239" i="9"/>
  <c r="L243" i="9"/>
  <c r="I13" i="4"/>
  <c r="I15" i="4" s="1"/>
  <c r="I72" i="4"/>
  <c r="I141" i="9" s="1"/>
  <c r="L89" i="22"/>
  <c r="L287" i="22"/>
  <c r="L288" i="22" s="1"/>
  <c r="L290" i="22" s="1"/>
  <c r="L293" i="22" s="1"/>
  <c r="H128" i="9"/>
  <c r="L294" i="22"/>
  <c r="L297" i="22" s="1"/>
  <c r="L299" i="22" s="1"/>
  <c r="L92" i="22" s="1"/>
  <c r="L295" i="22"/>
  <c r="M292" i="22" s="1"/>
  <c r="I16" i="4"/>
  <c r="I17" i="4"/>
  <c r="L59" i="25" l="1"/>
  <c r="L90" i="22"/>
  <c r="L106" i="6"/>
  <c r="M204" i="9"/>
  <c r="M230" i="9"/>
  <c r="I29" i="4"/>
  <c r="I58" i="4" s="1"/>
  <c r="L93" i="22"/>
  <c r="L60" i="25" l="1"/>
  <c r="L106" i="25" s="1"/>
  <c r="L129" i="22"/>
  <c r="L167" i="22"/>
  <c r="L170" i="22" s="1"/>
  <c r="G195" i="6" s="1"/>
  <c r="G198" i="6" s="1"/>
  <c r="L273" i="22"/>
  <c r="L107" i="6"/>
  <c r="L143" i="6" s="1"/>
  <c r="M205" i="9"/>
  <c r="M241" i="9" s="1"/>
  <c r="I30" i="4"/>
  <c r="L93" i="25" s="1"/>
  <c r="M231" i="9"/>
  <c r="M234" i="9"/>
  <c r="L94" i="25" l="1"/>
  <c r="L97" i="25"/>
  <c r="I31" i="4"/>
  <c r="L132" i="6"/>
  <c r="M236" i="9"/>
  <c r="I76" i="4"/>
  <c r="I127" i="9"/>
  <c r="L274" i="22"/>
  <c r="L279" i="22" s="1"/>
  <c r="L281" i="22" s="1"/>
  <c r="L130" i="22" s="1"/>
  <c r="M128" i="22"/>
  <c r="L132" i="22"/>
  <c r="L109" i="25" s="1"/>
  <c r="L124" i="6"/>
  <c r="M222" i="9"/>
  <c r="L99" i="25" l="1"/>
  <c r="L133" i="6"/>
  <c r="L136" i="6"/>
  <c r="L179" i="22"/>
  <c r="L262" i="22"/>
  <c r="L146" i="6"/>
  <c r="M244" i="9"/>
  <c r="I145" i="9"/>
  <c r="L138" i="6" l="1"/>
  <c r="L266" i="22"/>
  <c r="L119" i="22" l="1"/>
  <c r="J52" i="4" s="1"/>
  <c r="L156" i="22"/>
  <c r="M252" i="22"/>
  <c r="L76" i="25" l="1"/>
  <c r="L75" i="25"/>
  <c r="L74" i="25"/>
  <c r="J51" i="4"/>
  <c r="M88" i="22"/>
  <c r="L177" i="22"/>
  <c r="L180" i="22" s="1"/>
  <c r="G197" i="6" s="1"/>
  <c r="L117" i="6"/>
  <c r="L118" i="6"/>
  <c r="L119" i="6"/>
  <c r="M215" i="9"/>
  <c r="M216" i="9"/>
  <c r="M217" i="9"/>
  <c r="L158" i="22"/>
  <c r="I35" i="4"/>
  <c r="L183" i="22" l="1"/>
  <c r="M83" i="25"/>
  <c r="M82" i="25"/>
  <c r="M81" i="25"/>
  <c r="I36" i="4"/>
  <c r="L95" i="25" s="1"/>
  <c r="J53" i="4"/>
  <c r="J97" i="4" s="1"/>
  <c r="M278" i="22"/>
  <c r="I93" i="4"/>
  <c r="L134" i="6"/>
  <c r="M232" i="9"/>
  <c r="M289" i="22"/>
  <c r="J14" i="4"/>
  <c r="M122" i="6"/>
  <c r="M123" i="6"/>
  <c r="N220" i="9"/>
  <c r="N221" i="9"/>
  <c r="L184" i="22" l="1"/>
  <c r="I74" i="4"/>
  <c r="I122" i="9"/>
  <c r="I154" i="9"/>
  <c r="L117" i="22" l="1"/>
  <c r="M182" i="22"/>
  <c r="H21" i="4"/>
  <c r="I158" i="9"/>
  <c r="I143" i="9"/>
  <c r="I73" i="4"/>
  <c r="M87" i="22" l="1"/>
  <c r="L121" i="22"/>
  <c r="M264" i="22"/>
  <c r="H22" i="4"/>
  <c r="H85" i="4"/>
  <c r="I59" i="4"/>
  <c r="I142" i="9"/>
  <c r="L160" i="22" l="1"/>
  <c r="L161" i="22" s="1"/>
  <c r="L108" i="25"/>
  <c r="L65" i="25"/>
  <c r="L107" i="25" s="1"/>
  <c r="L104" i="25"/>
  <c r="L110" i="6"/>
  <c r="L144" i="6" s="1"/>
  <c r="L141" i="6"/>
  <c r="L145" i="6"/>
  <c r="M208" i="9"/>
  <c r="M242" i="9" s="1"/>
  <c r="M239" i="9"/>
  <c r="M243" i="9"/>
  <c r="J13" i="4"/>
  <c r="J15" i="4" s="1"/>
  <c r="J72" i="4"/>
  <c r="J141" i="9" s="1"/>
  <c r="M89" i="22"/>
  <c r="M287" i="22"/>
  <c r="M288" i="22" s="1"/>
  <c r="M290" i="22" s="1"/>
  <c r="M293" i="22" s="1"/>
  <c r="I128" i="9"/>
  <c r="M294" i="22"/>
  <c r="M295" i="22"/>
  <c r="N292" i="22" s="1"/>
  <c r="M297" i="22"/>
  <c r="M299" i="22" s="1"/>
  <c r="M92" i="22" s="1"/>
  <c r="J16" i="4"/>
  <c r="J17" i="4"/>
  <c r="M59" i="25" l="1"/>
  <c r="M90" i="22"/>
  <c r="M106" i="6"/>
  <c r="N204" i="9"/>
  <c r="N230" i="9"/>
  <c r="J29" i="4"/>
  <c r="J58" i="4" s="1"/>
  <c r="M93" i="22"/>
  <c r="M60" i="25" l="1"/>
  <c r="M106" i="25" s="1"/>
  <c r="M129" i="22"/>
  <c r="M167" i="22"/>
  <c r="M170" i="22" s="1"/>
  <c r="H195" i="6" s="1"/>
  <c r="H198" i="6" s="1"/>
  <c r="M273" i="22"/>
  <c r="M107" i="6"/>
  <c r="M143" i="6" s="1"/>
  <c r="N205" i="9"/>
  <c r="N241" i="9" s="1"/>
  <c r="J30" i="4"/>
  <c r="M93" i="25" s="1"/>
  <c r="N231" i="9"/>
  <c r="N234" i="9"/>
  <c r="M94" i="25" l="1"/>
  <c r="M97" i="25"/>
  <c r="J31" i="4"/>
  <c r="M132" i="6"/>
  <c r="N236" i="9"/>
  <c r="J76" i="4"/>
  <c r="J127" i="9"/>
  <c r="M274" i="22"/>
  <c r="M279" i="22" s="1"/>
  <c r="M281" i="22" s="1"/>
  <c r="M130" i="22" s="1"/>
  <c r="N128" i="22"/>
  <c r="M132" i="22"/>
  <c r="M109" i="25" s="1"/>
  <c r="M124" i="6"/>
  <c r="N222" i="9"/>
  <c r="M99" i="25" l="1"/>
  <c r="M133" i="6"/>
  <c r="M136" i="6"/>
  <c r="M179" i="22"/>
  <c r="M262" i="22"/>
  <c r="M146" i="6"/>
  <c r="N244" i="9"/>
  <c r="J145" i="9"/>
  <c r="M138" i="6" l="1"/>
  <c r="M266" i="22"/>
  <c r="M119" i="22" l="1"/>
  <c r="K52" i="4" s="1"/>
  <c r="M156" i="22"/>
  <c r="N252" i="22"/>
  <c r="M76" i="25" l="1"/>
  <c r="M75" i="25"/>
  <c r="M74" i="25"/>
  <c r="K51" i="4"/>
  <c r="N88" i="22"/>
  <c r="M177" i="22"/>
  <c r="M180" i="22" s="1"/>
  <c r="H197" i="6" s="1"/>
  <c r="M117" i="6"/>
  <c r="M118" i="6"/>
  <c r="M119" i="6"/>
  <c r="N215" i="9"/>
  <c r="N216" i="9"/>
  <c r="N217" i="9"/>
  <c r="M158" i="22"/>
  <c r="J35" i="4"/>
  <c r="M183" i="22" l="1"/>
  <c r="N83" i="25"/>
  <c r="N82" i="25"/>
  <c r="N81" i="25"/>
  <c r="J36" i="4"/>
  <c r="M95" i="25" s="1"/>
  <c r="K53" i="4"/>
  <c r="K97" i="4" s="1"/>
  <c r="N278" i="22"/>
  <c r="J93" i="4"/>
  <c r="M134" i="6"/>
  <c r="N232" i="9"/>
  <c r="N289" i="22"/>
  <c r="K14" i="4"/>
  <c r="N122" i="6"/>
  <c r="N123" i="6"/>
  <c r="O220" i="9"/>
  <c r="O221" i="9"/>
  <c r="M184" i="22" l="1"/>
  <c r="J74" i="4"/>
  <c r="I21" i="4" s="1"/>
  <c r="J122" i="9"/>
  <c r="J154" i="9"/>
  <c r="M117" i="22" l="1"/>
  <c r="N182" i="22"/>
  <c r="I22" i="4"/>
  <c r="I85" i="4"/>
  <c r="J158" i="9"/>
  <c r="J143" i="9"/>
  <c r="J73" i="4"/>
  <c r="N87" i="22" l="1"/>
  <c r="M121" i="22"/>
  <c r="N264" i="22"/>
  <c r="J59" i="4"/>
  <c r="J142" i="9"/>
  <c r="M160" i="22" l="1"/>
  <c r="M161" i="22" s="1"/>
  <c r="M108" i="25"/>
  <c r="M65" i="25"/>
  <c r="M107" i="25" s="1"/>
  <c r="M104" i="25"/>
  <c r="M110" i="6"/>
  <c r="M144" i="6" s="1"/>
  <c r="M141" i="6"/>
  <c r="M145" i="6"/>
  <c r="N208" i="9"/>
  <c r="N242" i="9" s="1"/>
  <c r="N239" i="9"/>
  <c r="N243" i="9"/>
  <c r="K72" i="4"/>
  <c r="K141" i="9" s="1"/>
  <c r="K13" i="4"/>
  <c r="K15" i="4" s="1"/>
  <c r="N89" i="22"/>
  <c r="N287" i="22"/>
  <c r="N288" i="22" s="1"/>
  <c r="N290" i="22" s="1"/>
  <c r="N293" i="22" s="1"/>
  <c r="J128" i="9"/>
  <c r="N294" i="22"/>
  <c r="N295" i="22"/>
  <c r="O292" i="22" s="1"/>
  <c r="N297" i="22"/>
  <c r="N299" i="22" s="1"/>
  <c r="N92" i="22" s="1"/>
  <c r="K16" i="4"/>
  <c r="K17" i="4"/>
  <c r="N59" i="25" l="1"/>
  <c r="N90" i="22"/>
  <c r="N106" i="6"/>
  <c r="O204" i="9"/>
  <c r="O230" i="9"/>
  <c r="K29" i="4"/>
  <c r="K58" i="4" s="1"/>
  <c r="N93" i="22"/>
  <c r="N60" i="25" l="1"/>
  <c r="N106" i="25" s="1"/>
  <c r="N129" i="22"/>
  <c r="N167" i="22"/>
  <c r="N170" i="22" s="1"/>
  <c r="I195" i="6" s="1"/>
  <c r="I198" i="6" s="1"/>
  <c r="N273" i="22"/>
  <c r="N107" i="6"/>
  <c r="N143" i="6" s="1"/>
  <c r="O205" i="9"/>
  <c r="O241" i="9" s="1"/>
  <c r="K30" i="4"/>
  <c r="N93" i="25" s="1"/>
  <c r="O231" i="9"/>
  <c r="O234" i="9"/>
  <c r="N94" i="25" l="1"/>
  <c r="N97" i="25"/>
  <c r="K31" i="4"/>
  <c r="N132" i="6"/>
  <c r="O236" i="9"/>
  <c r="K76" i="4"/>
  <c r="K127" i="9"/>
  <c r="N274" i="22"/>
  <c r="N279" i="22" s="1"/>
  <c r="N281" i="22" s="1"/>
  <c r="N130" i="22" s="1"/>
  <c r="O128" i="22"/>
  <c r="N132" i="22"/>
  <c r="N109" i="25" s="1"/>
  <c r="N124" i="6"/>
  <c r="O222" i="9"/>
  <c r="N99" i="25" l="1"/>
  <c r="N133" i="6"/>
  <c r="N136" i="6"/>
  <c r="N179" i="22"/>
  <c r="N262" i="22"/>
  <c r="N146" i="6"/>
  <c r="O244" i="9"/>
  <c r="K145" i="9"/>
  <c r="N138" i="6" l="1"/>
  <c r="N266" i="22"/>
  <c r="N119" i="22" l="1"/>
  <c r="L52" i="4" s="1"/>
  <c r="N156" i="22"/>
  <c r="O252" i="22"/>
  <c r="N76" i="25" l="1"/>
  <c r="N75" i="25"/>
  <c r="N74" i="25"/>
  <c r="L51" i="4"/>
  <c r="O88" i="22"/>
  <c r="N177" i="22"/>
  <c r="N180" i="22" s="1"/>
  <c r="I197" i="6" s="1"/>
  <c r="N117" i="6"/>
  <c r="N118" i="6"/>
  <c r="N119" i="6"/>
  <c r="O215" i="9"/>
  <c r="O216" i="9"/>
  <c r="O217" i="9"/>
  <c r="N158" i="22"/>
  <c r="K35" i="4"/>
  <c r="N183" i="22" l="1"/>
  <c r="O83" i="25"/>
  <c r="O82" i="25"/>
  <c r="O81" i="25"/>
  <c r="K36" i="4"/>
  <c r="N95" i="25" s="1"/>
  <c r="L53" i="4"/>
  <c r="L97" i="4" s="1"/>
  <c r="O278" i="22"/>
  <c r="K93" i="4"/>
  <c r="N134" i="6"/>
  <c r="O232" i="9"/>
  <c r="O289" i="22"/>
  <c r="L14" i="4"/>
  <c r="O122" i="6"/>
  <c r="O123" i="6"/>
  <c r="P220" i="9"/>
  <c r="P221" i="9"/>
  <c r="N184" i="22" l="1"/>
  <c r="K74" i="4"/>
  <c r="J21" i="4" s="1"/>
  <c r="K122" i="9"/>
  <c r="K154" i="9"/>
  <c r="N117" i="22" l="1"/>
  <c r="O182" i="22"/>
  <c r="J22" i="4"/>
  <c r="J85" i="4"/>
  <c r="K158" i="9"/>
  <c r="K143" i="9"/>
  <c r="K73" i="4"/>
  <c r="O87" i="22" l="1"/>
  <c r="N121" i="22"/>
  <c r="O264" i="22"/>
  <c r="K59" i="4"/>
  <c r="K142" i="9"/>
  <c r="N160" i="22" l="1"/>
  <c r="N161" i="22" s="1"/>
  <c r="N108" i="25"/>
  <c r="N65" i="25"/>
  <c r="N107" i="25" s="1"/>
  <c r="N104" i="25"/>
  <c r="N110" i="6"/>
  <c r="N144" i="6" s="1"/>
  <c r="N141" i="6"/>
  <c r="N145" i="6"/>
  <c r="O208" i="9"/>
  <c r="O242" i="9" s="1"/>
  <c r="O239" i="9"/>
  <c r="O243" i="9"/>
  <c r="L72" i="4"/>
  <c r="L141" i="9" s="1"/>
  <c r="L13" i="4"/>
  <c r="L15" i="4" s="1"/>
  <c r="O89" i="22"/>
  <c r="O287" i="22"/>
  <c r="O288" i="22" s="1"/>
  <c r="O290" i="22" s="1"/>
  <c r="O293" i="22" s="1"/>
  <c r="K128" i="9"/>
  <c r="O294" i="22"/>
  <c r="O295" i="22"/>
  <c r="P292" i="22" s="1"/>
  <c r="O297" i="22"/>
  <c r="O299" i="22" s="1"/>
  <c r="O92" i="22" s="1"/>
  <c r="L16" i="4"/>
  <c r="L17" i="4"/>
  <c r="O59" i="25" l="1"/>
  <c r="O90" i="22"/>
  <c r="O106" i="6"/>
  <c r="P204" i="9"/>
  <c r="T204" i="9"/>
  <c r="P230" i="9"/>
  <c r="L29" i="4"/>
  <c r="L58" i="4" s="1"/>
  <c r="O93" i="22"/>
  <c r="O60" i="25" l="1"/>
  <c r="O106" i="25" s="1"/>
  <c r="O129" i="22"/>
  <c r="O167" i="22"/>
  <c r="O170" i="22" s="1"/>
  <c r="J195" i="6" s="1"/>
  <c r="J198" i="6" s="1"/>
  <c r="O273" i="22"/>
  <c r="O107" i="6"/>
  <c r="O143" i="6" s="1"/>
  <c r="P205" i="9"/>
  <c r="P241" i="9" s="1"/>
  <c r="T205" i="9"/>
  <c r="L30" i="4"/>
  <c r="O93" i="25" s="1"/>
  <c r="P231" i="9"/>
  <c r="P234" i="9"/>
  <c r="O94" i="25" l="1"/>
  <c r="O97" i="25"/>
  <c r="L31" i="4"/>
  <c r="O132" i="6"/>
  <c r="P236" i="9"/>
  <c r="L76" i="4"/>
  <c r="L127" i="9"/>
  <c r="O274" i="22"/>
  <c r="O279" i="22" s="1"/>
  <c r="O281" i="22" s="1"/>
  <c r="O130" i="22" s="1"/>
  <c r="P128" i="22"/>
  <c r="O132" i="22"/>
  <c r="O109" i="25" s="1"/>
  <c r="O124" i="6"/>
  <c r="P222" i="9"/>
  <c r="O99" i="25" l="1"/>
  <c r="O133" i="6"/>
  <c r="O136" i="6"/>
  <c r="O179" i="22"/>
  <c r="O262" i="22"/>
  <c r="O146" i="6"/>
  <c r="P244" i="9"/>
  <c r="L145" i="9"/>
  <c r="O138" i="6" l="1"/>
  <c r="O266" i="22"/>
  <c r="O119" i="22" l="1"/>
  <c r="M52" i="4" s="1"/>
  <c r="O156" i="22"/>
  <c r="P252" i="22"/>
  <c r="O76" i="25" l="1"/>
  <c r="O75" i="25"/>
  <c r="O74" i="25"/>
  <c r="M51" i="4"/>
  <c r="M53" i="4" s="1"/>
  <c r="M21" i="4" s="1"/>
  <c r="P88" i="22"/>
  <c r="O177" i="22"/>
  <c r="O180" i="22" s="1"/>
  <c r="J197" i="6" s="1"/>
  <c r="O117" i="6"/>
  <c r="O118" i="6"/>
  <c r="O119" i="6"/>
  <c r="P215" i="9"/>
  <c r="P216" i="9"/>
  <c r="P217" i="9"/>
  <c r="O158" i="22"/>
  <c r="L35" i="4"/>
  <c r="O183" i="22" l="1"/>
  <c r="P83" i="25"/>
  <c r="P82" i="25"/>
  <c r="P81" i="25"/>
  <c r="L36" i="4"/>
  <c r="O95" i="25" s="1"/>
  <c r="P278" i="22"/>
  <c r="L93" i="4"/>
  <c r="O134" i="6"/>
  <c r="P232" i="9"/>
  <c r="P289" i="22"/>
  <c r="M14" i="4"/>
  <c r="P122" i="6"/>
  <c r="P123" i="6"/>
  <c r="Q220" i="9"/>
  <c r="Q221" i="9"/>
  <c r="O184" i="22" l="1"/>
  <c r="M97" i="4"/>
  <c r="L74" i="4"/>
  <c r="K21" i="4" s="1"/>
  <c r="L122" i="9"/>
  <c r="L154" i="9"/>
  <c r="O117" i="22" l="1"/>
  <c r="P182" i="22"/>
  <c r="K22" i="4"/>
  <c r="K85" i="4"/>
  <c r="M74" i="4"/>
  <c r="L21" i="4" s="1"/>
  <c r="M122" i="9"/>
  <c r="L158" i="9"/>
  <c r="L143" i="9"/>
  <c r="L73" i="4"/>
  <c r="P87" i="22" l="1"/>
  <c r="P117" i="22"/>
  <c r="O121" i="22"/>
  <c r="P260" i="22"/>
  <c r="P264" i="22"/>
  <c r="L22" i="4"/>
  <c r="L85" i="4"/>
  <c r="L59" i="4"/>
  <c r="L142" i="9"/>
  <c r="M158" i="9"/>
  <c r="M143" i="9"/>
  <c r="O160" i="22" l="1"/>
  <c r="O161" i="22" s="1"/>
  <c r="O108" i="25"/>
  <c r="O65" i="25"/>
  <c r="O107" i="25" s="1"/>
  <c r="O104" i="25"/>
  <c r="O110" i="6"/>
  <c r="O144" i="6" s="1"/>
  <c r="O141" i="6"/>
  <c r="O145" i="6"/>
  <c r="P208" i="9"/>
  <c r="P242" i="9" s="1"/>
  <c r="P239" i="9"/>
  <c r="P243" i="9"/>
  <c r="M13" i="4"/>
  <c r="M72" i="4"/>
  <c r="P287" i="22"/>
  <c r="L128" i="9"/>
  <c r="M73" i="4" l="1"/>
  <c r="M141" i="9"/>
  <c r="M59" i="4" l="1"/>
  <c r="M128" i="9" s="1"/>
  <c r="M142" i="9"/>
  <c r="H159" i="9"/>
  <c r="I159" i="9"/>
  <c r="J159" i="9"/>
  <c r="K159" i="9"/>
  <c r="L159" i="9"/>
  <c r="M159" i="9"/>
  <c r="G256" i="9"/>
  <c r="G258" i="9"/>
  <c r="P73" i="22"/>
  <c r="P74" i="22"/>
  <c r="P84" i="22"/>
  <c r="P85" i="22"/>
  <c r="G9" i="25" s="1"/>
  <c r="P89" i="22"/>
  <c r="P59" i="25" s="1"/>
  <c r="P90" i="22"/>
  <c r="P105" i="22"/>
  <c r="P168" i="22"/>
  <c r="P254" i="22"/>
  <c r="P286" i="22"/>
  <c r="P288" i="22"/>
  <c r="P290" i="22"/>
  <c r="P293" i="22"/>
  <c r="P294" i="22"/>
  <c r="P295" i="22"/>
  <c r="P297" i="22"/>
  <c r="P299" i="22"/>
  <c r="P92" i="22" s="1"/>
  <c r="P93" i="22" s="1"/>
  <c r="M12" i="4"/>
  <c r="M15" i="4"/>
  <c r="M16" i="4"/>
  <c r="M17" i="4"/>
  <c r="M18" i="4"/>
  <c r="M22" i="4"/>
  <c r="M29" i="4"/>
  <c r="M32" i="4"/>
  <c r="M58" i="4"/>
  <c r="M76" i="4"/>
  <c r="M85" i="4"/>
  <c r="P103" i="6"/>
  <c r="P106" i="6"/>
  <c r="P107" i="6"/>
  <c r="P129" i="6"/>
  <c r="P130" i="6"/>
  <c r="P135" i="6"/>
  <c r="P143" i="6"/>
  <c r="M127" i="9"/>
  <c r="M145" i="9"/>
  <c r="G167" i="9"/>
  <c r="J167" i="9"/>
  <c r="G183" i="9"/>
  <c r="G184" i="9"/>
  <c r="G185" i="9"/>
  <c r="G186" i="9"/>
  <c r="G189" i="9"/>
  <c r="Q203" i="9"/>
  <c r="Q204" i="9"/>
  <c r="G14" i="9" s="1"/>
  <c r="Q205" i="9"/>
  <c r="Q227" i="9"/>
  <c r="Q228" i="9"/>
  <c r="Q230" i="9"/>
  <c r="Q233" i="9"/>
  <c r="Q234" i="9"/>
  <c r="Q236" i="9"/>
  <c r="Q241" i="9"/>
  <c r="P96" i="25" l="1"/>
  <c r="G20" i="25"/>
  <c r="P60" i="25"/>
  <c r="P106" i="25" s="1"/>
  <c r="G25" i="6"/>
  <c r="P104" i="6"/>
  <c r="P57" i="25"/>
  <c r="P56" i="25"/>
  <c r="G56" i="6"/>
  <c r="V34" i="6" s="1"/>
  <c r="G67" i="6"/>
  <c r="M28" i="4"/>
  <c r="P129" i="22"/>
  <c r="P167" i="22"/>
  <c r="P170" i="22" s="1"/>
  <c r="K195" i="6" s="1"/>
  <c r="K198" i="6" s="1"/>
  <c r="P273" i="22"/>
  <c r="M30" i="4" l="1"/>
  <c r="M31" i="4"/>
  <c r="P274" i="22"/>
  <c r="P279" i="22" s="1"/>
  <c r="P281" i="22" s="1"/>
  <c r="P130" i="22" s="1"/>
  <c r="P132" i="22"/>
  <c r="P109" i="25" s="1"/>
  <c r="P124" i="6"/>
  <c r="Q222" i="9"/>
  <c r="P93" i="25" l="1"/>
  <c r="G19" i="25"/>
  <c r="G23" i="25" s="1"/>
  <c r="G18" i="25"/>
  <c r="G21" i="25" s="1"/>
  <c r="P132" i="6"/>
  <c r="G66" i="6"/>
  <c r="G70" i="6" s="1"/>
  <c r="P133" i="6"/>
  <c r="G65" i="6"/>
  <c r="P179" i="22"/>
  <c r="P262" i="22"/>
  <c r="P266" i="22" s="1"/>
  <c r="P146" i="6"/>
  <c r="Q244" i="9"/>
  <c r="G24" i="25" l="1"/>
  <c r="P94" i="25"/>
  <c r="P97" i="25"/>
  <c r="G68" i="6"/>
  <c r="P136" i="6"/>
  <c r="P138" i="6" s="1"/>
  <c r="P119" i="22"/>
  <c r="P156" i="22"/>
  <c r="P76" i="25" l="1"/>
  <c r="P75" i="25"/>
  <c r="P74" i="25"/>
  <c r="P99" i="25"/>
  <c r="G71" i="6"/>
  <c r="P177" i="22"/>
  <c r="P180" i="22" s="1"/>
  <c r="K197" i="6" s="1"/>
  <c r="P117" i="6"/>
  <c r="P118" i="6"/>
  <c r="P119" i="6"/>
  <c r="Q215" i="9"/>
  <c r="Q216" i="9"/>
  <c r="Q217" i="9"/>
  <c r="P158" i="22"/>
  <c r="P121" i="22"/>
  <c r="M35" i="4"/>
  <c r="P183" i="22" l="1"/>
  <c r="P108" i="25"/>
  <c r="P65" i="25"/>
  <c r="P107" i="25" s="1"/>
  <c r="P104" i="25"/>
  <c r="P184" i="22"/>
  <c r="M36" i="4"/>
  <c r="M93" i="4"/>
  <c r="P134" i="6"/>
  <c r="Q232" i="9"/>
  <c r="P110" i="6"/>
  <c r="P144" i="6" s="1"/>
  <c r="P141" i="6"/>
  <c r="P145" i="6"/>
  <c r="Q208" i="9"/>
  <c r="Q242" i="9" s="1"/>
  <c r="Q239" i="9"/>
  <c r="Q243" i="9"/>
  <c r="P160" i="22"/>
  <c r="P161" i="22" s="1"/>
  <c r="G85" i="6" l="1"/>
  <c r="G87" i="6" s="1"/>
  <c r="P95" i="25"/>
  <c r="G38" i="25"/>
  <c r="G40" i="25" s="1"/>
  <c r="M154" i="9"/>
  <c r="G251" i="9"/>
  <c r="G7" i="21"/>
  <c r="G7" i="22"/>
  <c r="H7" i="21"/>
  <c r="H7" i="22"/>
  <c r="H8" i="21"/>
  <c r="H8" i="22"/>
  <c r="G8" i="21"/>
  <c r="G8" i="22"/>
  <c r="H54" i="4"/>
  <c r="I54" i="4"/>
  <c r="J54" i="4"/>
  <c r="K54" i="4"/>
  <c r="L54" i="4"/>
  <c r="M54" i="4"/>
  <c r="H55" i="4"/>
  <c r="I55" i="4"/>
  <c r="J55" i="4"/>
  <c r="K55" i="4"/>
  <c r="L55" i="4"/>
  <c r="M55" i="4"/>
  <c r="H56" i="4"/>
  <c r="I56" i="4"/>
  <c r="J56" i="4"/>
  <c r="K56" i="4"/>
  <c r="L56" i="4"/>
  <c r="M56" i="4"/>
  <c r="H57" i="4"/>
  <c r="I57" i="4"/>
  <c r="J57" i="4"/>
  <c r="K57" i="4"/>
  <c r="L57" i="4"/>
  <c r="M57" i="4"/>
  <c r="H60" i="4"/>
  <c r="I60" i="4"/>
  <c r="J60" i="4"/>
  <c r="K60" i="4"/>
  <c r="L60" i="4"/>
  <c r="M60" i="4"/>
  <c r="H63" i="4"/>
  <c r="I63" i="4"/>
  <c r="J63" i="4"/>
  <c r="K63" i="4"/>
  <c r="L63" i="4"/>
  <c r="M63" i="4"/>
  <c r="H67" i="4"/>
  <c r="I67" i="4"/>
  <c r="J67" i="4"/>
  <c r="K67" i="4"/>
  <c r="L67" i="4"/>
  <c r="M67" i="4"/>
  <c r="H70" i="4"/>
  <c r="I70" i="4"/>
  <c r="J70" i="4"/>
  <c r="K70" i="4"/>
  <c r="L70" i="4"/>
  <c r="M70" i="4"/>
  <c r="G71" i="4"/>
  <c r="H71" i="4"/>
  <c r="I71" i="4"/>
  <c r="J71" i="4"/>
  <c r="K71" i="4"/>
  <c r="L71" i="4"/>
  <c r="M71" i="4"/>
  <c r="G75" i="4"/>
  <c r="H75" i="4"/>
  <c r="I75" i="4"/>
  <c r="J75" i="4"/>
  <c r="K75" i="4"/>
  <c r="L75" i="4"/>
  <c r="M75" i="4"/>
  <c r="H77" i="4"/>
  <c r="I77" i="4"/>
  <c r="J77" i="4"/>
  <c r="K77" i="4"/>
  <c r="L77" i="4"/>
  <c r="M77" i="4"/>
  <c r="H86" i="4"/>
  <c r="I86" i="4"/>
  <c r="J86" i="4"/>
  <c r="K86" i="4"/>
  <c r="L86" i="4"/>
  <c r="M86" i="4"/>
  <c r="H87" i="4"/>
  <c r="I87" i="4"/>
  <c r="J87" i="4"/>
  <c r="K87" i="4"/>
  <c r="L87" i="4"/>
  <c r="M87" i="4"/>
  <c r="G88" i="4"/>
  <c r="H88" i="4"/>
  <c r="I88" i="4"/>
  <c r="J88" i="4"/>
  <c r="K88" i="4"/>
  <c r="L88" i="4"/>
  <c r="M88" i="4"/>
  <c r="H94" i="4"/>
  <c r="I94" i="4"/>
  <c r="J94" i="4"/>
  <c r="K94" i="4"/>
  <c r="L94" i="4"/>
  <c r="M94" i="4"/>
  <c r="H95" i="4"/>
  <c r="I95" i="4"/>
  <c r="J95" i="4"/>
  <c r="K95" i="4"/>
  <c r="L95" i="4"/>
  <c r="M95" i="4"/>
  <c r="H96" i="4"/>
  <c r="I96" i="4"/>
  <c r="J96" i="4"/>
  <c r="K96" i="4"/>
  <c r="L96" i="4"/>
  <c r="M96" i="4"/>
  <c r="G98" i="4"/>
  <c r="H98" i="4"/>
  <c r="I98" i="4"/>
  <c r="J98" i="4"/>
  <c r="K98" i="4"/>
  <c r="L98" i="4"/>
  <c r="M98" i="4"/>
  <c r="E106" i="4"/>
  <c r="H107" i="4"/>
  <c r="I107" i="4"/>
  <c r="J107" i="4"/>
  <c r="K107" i="4"/>
  <c r="L107" i="4"/>
  <c r="M107" i="4"/>
  <c r="H108" i="4"/>
  <c r="I108" i="4"/>
  <c r="J108" i="4"/>
  <c r="K108" i="4"/>
  <c r="L108" i="4"/>
  <c r="M108" i="4"/>
  <c r="G11" i="25"/>
  <c r="G12" i="25"/>
  <c r="G26" i="25"/>
  <c r="C7" i="6"/>
  <c r="G20" i="6"/>
  <c r="Q45" i="6"/>
  <c r="G58" i="6"/>
  <c r="G59" i="6"/>
  <c r="G73" i="6"/>
  <c r="F191" i="6"/>
  <c r="G9" i="9"/>
  <c r="G13" i="9"/>
  <c r="D25" i="9"/>
  <c r="K25" i="9"/>
  <c r="K26" i="9"/>
  <c r="K27" i="9"/>
  <c r="K28" i="9"/>
  <c r="K29" i="9"/>
  <c r="K30" i="9"/>
  <c r="H123" i="9"/>
  <c r="I123" i="9"/>
  <c r="J123" i="9"/>
  <c r="K123" i="9"/>
  <c r="L123" i="9"/>
  <c r="M123" i="9"/>
  <c r="H124" i="9"/>
  <c r="I124" i="9"/>
  <c r="J124" i="9"/>
  <c r="K124" i="9"/>
  <c r="L124" i="9"/>
  <c r="M124" i="9"/>
  <c r="H125" i="9"/>
  <c r="I125" i="9"/>
  <c r="J125" i="9"/>
  <c r="K125" i="9"/>
  <c r="L125" i="9"/>
  <c r="M125" i="9"/>
  <c r="H126" i="9"/>
  <c r="I126" i="9"/>
  <c r="J126" i="9"/>
  <c r="K126" i="9"/>
  <c r="L126" i="9"/>
  <c r="M126" i="9"/>
  <c r="H129" i="9"/>
  <c r="I129" i="9"/>
  <c r="J129" i="9"/>
  <c r="K129" i="9"/>
  <c r="L129" i="9"/>
  <c r="M129" i="9"/>
  <c r="H132" i="9"/>
  <c r="I132" i="9"/>
  <c r="J132" i="9"/>
  <c r="K132" i="9"/>
  <c r="L132" i="9"/>
  <c r="M132" i="9"/>
  <c r="H136" i="9"/>
  <c r="I136" i="9"/>
  <c r="J136" i="9"/>
  <c r="K136" i="9"/>
  <c r="L136" i="9"/>
  <c r="M136" i="9"/>
  <c r="H139" i="9"/>
  <c r="I139" i="9"/>
  <c r="J139" i="9"/>
  <c r="K139" i="9"/>
  <c r="L139" i="9"/>
  <c r="M139" i="9"/>
  <c r="G140" i="9"/>
  <c r="H140" i="9"/>
  <c r="I140" i="9"/>
  <c r="J140" i="9"/>
  <c r="K140" i="9"/>
  <c r="L140" i="9"/>
  <c r="M140" i="9"/>
  <c r="G144" i="9"/>
  <c r="H144" i="9"/>
  <c r="I144" i="9"/>
  <c r="J144" i="9"/>
  <c r="K144" i="9"/>
  <c r="L144" i="9"/>
  <c r="M144" i="9"/>
  <c r="H146" i="9"/>
  <c r="I146" i="9"/>
  <c r="J146" i="9"/>
  <c r="K146" i="9"/>
  <c r="L146" i="9"/>
  <c r="M146" i="9"/>
  <c r="H155" i="9"/>
  <c r="I155" i="9"/>
  <c r="J155" i="9"/>
  <c r="K155" i="9"/>
  <c r="L155" i="9"/>
  <c r="M155" i="9"/>
  <c r="H156" i="9"/>
  <c r="I156" i="9"/>
  <c r="J156" i="9"/>
  <c r="K156" i="9"/>
  <c r="L156" i="9"/>
  <c r="M156" i="9"/>
  <c r="H157" i="9"/>
  <c r="I157" i="9"/>
  <c r="J157" i="9"/>
  <c r="K157" i="9"/>
  <c r="L157" i="9"/>
  <c r="M157" i="9"/>
  <c r="G170" i="9"/>
  <c r="G171" i="9"/>
  <c r="G190" i="9"/>
  <c r="G252" i="9"/>
  <c r="G255" i="9"/>
  <c r="G257" i="9"/>
  <c r="G260" i="9"/>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<sst xmlns="http://schemas.openxmlformats.org/spreadsheetml/2006/main" count="1455" uniqueCount="664">
  <si>
    <t>Unternehmensname</t>
  </si>
  <si>
    <t>Unternehmensbranche</t>
  </si>
  <si>
    <t>Rechtsform</t>
  </si>
  <si>
    <t>Allgemein</t>
  </si>
  <si>
    <t>Zweck der Bewertung</t>
  </si>
  <si>
    <t>Maschinen- und Anlagenbau</t>
  </si>
  <si>
    <t>bitte auswählen</t>
  </si>
  <si>
    <t>Unternehmensverkauf</t>
  </si>
  <si>
    <t>Sonstige</t>
  </si>
  <si>
    <t>Kapitalbedarf</t>
  </si>
  <si>
    <t>Interne Nachfolgeregelung</t>
  </si>
  <si>
    <t>Erschabftsregelung</t>
  </si>
  <si>
    <t>Bankgespräch</t>
  </si>
  <si>
    <t>Zweck d. Unternehmensbewertung</t>
  </si>
  <si>
    <t>Bewertungsstichtag</t>
  </si>
  <si>
    <t>Datum</t>
  </si>
  <si>
    <t>Rechtsform des Unternehmens</t>
  </si>
  <si>
    <t>Risikofaktoren</t>
  </si>
  <si>
    <t>Unternehmensleitung durch Gesellschafter</t>
  </si>
  <si>
    <t>j/n</t>
  </si>
  <si>
    <t>Verhandlungsstärke der Lieferanten</t>
  </si>
  <si>
    <t>Verhandlungsstärke der Kunden</t>
  </si>
  <si>
    <t>Bedrohung durch Ersatzprodukte</t>
  </si>
  <si>
    <t xml:space="preserve">Rivalität durch Wettbewerbsintensität </t>
  </si>
  <si>
    <t>ja</t>
  </si>
  <si>
    <t>nein</t>
  </si>
  <si>
    <t>Rank</t>
  </si>
  <si>
    <t>Auswahl</t>
  </si>
  <si>
    <t xml:space="preserve"> </t>
  </si>
  <si>
    <t>Produktdiversifizät</t>
  </si>
  <si>
    <t>Abhängigkeit von Schlüsselpersonen</t>
  </si>
  <si>
    <t>Erläuterung</t>
  </si>
  <si>
    <t>Geschäftsführung</t>
  </si>
  <si>
    <t>Zyklizität</t>
  </si>
  <si>
    <t>Planbarkeit des Absatzes</t>
  </si>
  <si>
    <t>Historie</t>
  </si>
  <si>
    <t>Umsatzerlöse</t>
  </si>
  <si>
    <t>in Tsd. €</t>
  </si>
  <si>
    <t>ACT</t>
  </si>
  <si>
    <t>Planwerte</t>
  </si>
  <si>
    <t>Materialaufwand</t>
  </si>
  <si>
    <t>in %</t>
  </si>
  <si>
    <t>Rohertrag</t>
  </si>
  <si>
    <t>Rohertragsquote</t>
  </si>
  <si>
    <t>Personalaufwand</t>
  </si>
  <si>
    <t>Sonstige betriebliche Erträge</t>
  </si>
  <si>
    <t>Sonstige betriebliche Aufwendungen</t>
  </si>
  <si>
    <t>Mietaufwand</t>
  </si>
  <si>
    <t>Veränderung</t>
  </si>
  <si>
    <t>Abschreibungsaufwand</t>
  </si>
  <si>
    <t>EBIT</t>
  </si>
  <si>
    <t>EBT</t>
  </si>
  <si>
    <t>Steuern</t>
  </si>
  <si>
    <t>Jahresüberschuss/-fehlbetrag</t>
  </si>
  <si>
    <t>GuV</t>
  </si>
  <si>
    <t>Bilanz</t>
  </si>
  <si>
    <t>Bereinigung von Forderungsverlusten</t>
  </si>
  <si>
    <t>Erträge aus Schadenfälle</t>
  </si>
  <si>
    <t>Erträge aus Zinsänderung</t>
  </si>
  <si>
    <t>Abgang von Vermögensgegenständen des AV</t>
  </si>
  <si>
    <t xml:space="preserve">Herabsetzung der Wertberichtigung </t>
  </si>
  <si>
    <t>Ablöse für Personal</t>
  </si>
  <si>
    <t>Auflösung von Rückstellungen</t>
  </si>
  <si>
    <t>Plan</t>
  </si>
  <si>
    <t>Planungsrechnung</t>
  </si>
  <si>
    <t>Net Working Capital</t>
  </si>
  <si>
    <t>Vorräte</t>
  </si>
  <si>
    <t>Verbindlichkeiten aus Lieferungen und Leistungen</t>
  </si>
  <si>
    <t xml:space="preserve">sonstige kurzfristige Verbindlichkeiten </t>
  </si>
  <si>
    <t xml:space="preserve">Debitorenlaufzeit </t>
  </si>
  <si>
    <t>Bestandsreichweite</t>
  </si>
  <si>
    <t>Rücklaufzeit sonstige Vermögenswerte</t>
  </si>
  <si>
    <t>[(sonstige kurzfr. Vermögensw./UE) x 360]</t>
  </si>
  <si>
    <t>[(FLL/UE)  x 360]</t>
  </si>
  <si>
    <t>[(Vorräte/MA) x 360]</t>
  </si>
  <si>
    <t>Mittelwert</t>
  </si>
  <si>
    <t>Median</t>
  </si>
  <si>
    <t>Kreditorenlaufzeit</t>
  </si>
  <si>
    <t>[(VLL/MA) x 360]</t>
  </si>
  <si>
    <t>Rücklaufzeit sonstige Verbindlichkeiten</t>
  </si>
  <si>
    <t>[(sonstige kurzfr. Verbindlichkeiten/MA) x 360]</t>
  </si>
  <si>
    <t>∆ Net Working Capital</t>
  </si>
  <si>
    <t>Anlagevermögen</t>
  </si>
  <si>
    <t>in Jahre</t>
  </si>
  <si>
    <t>Delta zu angemessenes Geschäftsfühergehalt</t>
  </si>
  <si>
    <t>Investitionen</t>
  </si>
  <si>
    <t>Abschreibungsmatrix</t>
  </si>
  <si>
    <t>Abschreibung</t>
  </si>
  <si>
    <t>Flag</t>
  </si>
  <si>
    <t>Abschreibung Gesamt</t>
  </si>
  <si>
    <t>Abschreibungsaufwand auf Neuinvestitionen in AV</t>
  </si>
  <si>
    <t>Abschreibungsaufwand in AV im Bestand</t>
  </si>
  <si>
    <t>Abschreibungsaufwand Gesamt</t>
  </si>
  <si>
    <t>Eigenkapital</t>
  </si>
  <si>
    <t>Jahresüberschuss</t>
  </si>
  <si>
    <t>Unternehmensseite</t>
  </si>
  <si>
    <t>www.google.de</t>
  </si>
  <si>
    <t>Ø Nutzungsdauer des Anlagevermögens [IST]</t>
  </si>
  <si>
    <t>Ø Nutzungsdauer des Anlagevermögens [Plan]</t>
  </si>
  <si>
    <t>Anlagevermögen [Bestand]</t>
  </si>
  <si>
    <t>- Unternehmenssteuern</t>
  </si>
  <si>
    <t>-/+ Δ Nettoumlaufvermögen</t>
  </si>
  <si>
    <t>+ Abschreibungsaufwand</t>
  </si>
  <si>
    <t>- Investitionen</t>
  </si>
  <si>
    <t>Phase II</t>
  </si>
  <si>
    <t>NOPLAT</t>
  </si>
  <si>
    <t>Ableitung der Free Cashflows to the Firm</t>
  </si>
  <si>
    <t xml:space="preserve">Free Cashflow to the Firm </t>
  </si>
  <si>
    <t>Unternehmenssteuern</t>
  </si>
  <si>
    <t>Gewerbesteuer</t>
  </si>
  <si>
    <t>Körperschaftssteuer</t>
  </si>
  <si>
    <t xml:space="preserve">Bei Personengesellschaft = 0%, da Ertragssteuern auf Ebene der Gesellschafter erfolgt. </t>
  </si>
  <si>
    <t>Flow to Equity</t>
  </si>
  <si>
    <t xml:space="preserve">Discounted Cashflow Bewertung </t>
  </si>
  <si>
    <t>Ableitung Kapitalisierungszinssatzes</t>
  </si>
  <si>
    <t>risikoloser Zins</t>
  </si>
  <si>
    <t>Marktrisikoprämie</t>
  </si>
  <si>
    <t>unlevered Beta</t>
  </si>
  <si>
    <t>Tax Shield</t>
  </si>
  <si>
    <t>Ableitung des Betafaktors</t>
  </si>
  <si>
    <t>levered Beta</t>
  </si>
  <si>
    <t>Fremdkapitalzinssatz</t>
  </si>
  <si>
    <t>Debt Beta</t>
  </si>
  <si>
    <t xml:space="preserve">Risikozuschlag aus Operativer Geschäftstätigkeit </t>
  </si>
  <si>
    <t>Risikozuschlag aus Markt und Wettbewerb</t>
  </si>
  <si>
    <t>Risikozuschlag aus operationellem Faktor</t>
  </si>
  <si>
    <t>Eigenkapitalkosten nach Risikozuschläge</t>
  </si>
  <si>
    <t>Diskontierungsfaktor</t>
  </si>
  <si>
    <t>Wert des Eigenkapitals</t>
  </si>
  <si>
    <t>nachhaltige Wachstumsrate</t>
  </si>
  <si>
    <t>Ableitung Unternehmenswert</t>
  </si>
  <si>
    <t xml:space="preserve">Free Cashflow </t>
  </si>
  <si>
    <t>Ableitung Eigenkapitalkosten</t>
  </si>
  <si>
    <t>Ableitung WACC</t>
  </si>
  <si>
    <t>Eigenkapitalkosten</t>
  </si>
  <si>
    <t>WACC</t>
  </si>
  <si>
    <t>Ausschüttung</t>
  </si>
  <si>
    <t>Cashflow Rechnung</t>
  </si>
  <si>
    <t>verfügbarer Cashflow für Eigenkapital</t>
  </si>
  <si>
    <t>Wert des Gesamtkapitals</t>
  </si>
  <si>
    <t>verschuldete Eigenkapitalkosten vor Risikozuschläge</t>
  </si>
  <si>
    <t>Veränderung der verzinslichen Verbindlichkeiten</t>
  </si>
  <si>
    <t>Veränderung der verzinslichen Rückstellungen</t>
  </si>
  <si>
    <t>Veränderung der verzinslichen Aktiva</t>
  </si>
  <si>
    <t>Veränderung des Eigenkapitals</t>
  </si>
  <si>
    <t>Desinvestitionen</t>
  </si>
  <si>
    <t>Zuschreibungen</t>
  </si>
  <si>
    <t>Abschreibungen</t>
  </si>
  <si>
    <t>Finanzanlagen</t>
  </si>
  <si>
    <t>Forderungen aus Lieferung und Leistungen</t>
  </si>
  <si>
    <t>Forderungen und sonstige Vermögensgegenstände</t>
  </si>
  <si>
    <t>[Platzhalter]</t>
  </si>
  <si>
    <t>Unverzinsliches Umlaufvermögen</t>
  </si>
  <si>
    <t>Liquide Mittel</t>
  </si>
  <si>
    <t>AKTIVA</t>
  </si>
  <si>
    <t>PASSIVA</t>
  </si>
  <si>
    <t>Gezeichnetes Kapital</t>
  </si>
  <si>
    <t>Kapitalrücklage</t>
  </si>
  <si>
    <t>Gewinnrücklage</t>
  </si>
  <si>
    <t>Gewinn-/ Verlustvortrag</t>
  </si>
  <si>
    <t>Jahresüberschuss /-fehlbetrag</t>
  </si>
  <si>
    <t>Kapitalgesellschaft</t>
  </si>
  <si>
    <t>Personengesellschaft</t>
  </si>
  <si>
    <t>Positiver Finanzierungssaldo</t>
  </si>
  <si>
    <t>Steuerrückstellungen</t>
  </si>
  <si>
    <t>sonstige Rückstellungen</t>
  </si>
  <si>
    <t>unverzinsliche Rückstellungen</t>
  </si>
  <si>
    <t>unverzinsliche Verbindlichkeiten</t>
  </si>
  <si>
    <t>Verbinidlichkeiten gegenüber Kreditinstitute</t>
  </si>
  <si>
    <t>Verbindlichkeiten gegenüber Gesellschafter</t>
  </si>
  <si>
    <t>verzinsliche Verbindlichkeiten</t>
  </si>
  <si>
    <t>Summe Aktiva</t>
  </si>
  <si>
    <t>Check</t>
  </si>
  <si>
    <t>Sachanlagen und immaterielle Vermögenswerte zu Periodenbeginn</t>
  </si>
  <si>
    <t>Sachanlagen und immaterielle Vermögenswerte zu Periodenende</t>
  </si>
  <si>
    <t>Negativer Finanzierungssaldo</t>
  </si>
  <si>
    <t>Summe Passiva</t>
  </si>
  <si>
    <t xml:space="preserve">Abschreibungsaufwand </t>
  </si>
  <si>
    <t>Pensionsrückstellungen</t>
  </si>
  <si>
    <t>verzinsliche Rückstellungen</t>
  </si>
  <si>
    <t>Cashflow aus operativer Tätigkeit</t>
  </si>
  <si>
    <t>Cashflow aus Investitionstätigkeit</t>
  </si>
  <si>
    <t xml:space="preserve"> -/+ Δ Nettoumlaufvermögen</t>
  </si>
  <si>
    <t>+/- Δ Eigenkapital</t>
  </si>
  <si>
    <t>+/- Δ verzinsliche Verbindlichkeiten</t>
  </si>
  <si>
    <t>Cashflow aus Finanzierungstätigkeit</t>
  </si>
  <si>
    <t>Cash Flow Gesamt</t>
  </si>
  <si>
    <t>Liquide Mittel zu Periodenbeginn</t>
  </si>
  <si>
    <t>Liquide Mittel zu Periodenende</t>
  </si>
  <si>
    <t>+/- Δ verzinsliche Rückstellungen</t>
  </si>
  <si>
    <t>Finanzierungssaldo Jahresende</t>
  </si>
  <si>
    <t>Finanzierungssaldo Jahresbeginn</t>
  </si>
  <si>
    <t>Eigenkapital Marktwert</t>
  </si>
  <si>
    <t>Eigenkapitalquote</t>
  </si>
  <si>
    <t>Verschuldungsgrad</t>
  </si>
  <si>
    <t>Netto-Fremdkapitalquote</t>
  </si>
  <si>
    <t>Zinsaufwand/-ertrag</t>
  </si>
  <si>
    <t>Zinsertrag</t>
  </si>
  <si>
    <t>unverzinsliches Umlaufvermögen</t>
  </si>
  <si>
    <t>Vergleich</t>
  </si>
  <si>
    <t>Finanzierungsbedarf aus ∆ Net Working Capital</t>
  </si>
  <si>
    <t>Finanzierungsbedarf</t>
  </si>
  <si>
    <t>Zinssätze</t>
  </si>
  <si>
    <t>Zinssatz verzinsliches Verbindlichkeiten</t>
  </si>
  <si>
    <t>Zinssatz verzinsliche Rückstellungen</t>
  </si>
  <si>
    <t>Mindestliquidität</t>
  </si>
  <si>
    <t>Aufstockung der Mindestliquidität</t>
  </si>
  <si>
    <t>operativer Cashflow</t>
  </si>
  <si>
    <t>Eigenkapital Ausschüttung</t>
  </si>
  <si>
    <t>handelsrechtliche Gewinnausschüttung</t>
  </si>
  <si>
    <t>- Zinsaufwand</t>
  </si>
  <si>
    <t xml:space="preserve">+ Eigenkapital Einzahlung </t>
  </si>
  <si>
    <t>-/+ Tilgung/Aufnahme verzinsliches Fremdkapital</t>
  </si>
  <si>
    <t>Zinsaufwand</t>
  </si>
  <si>
    <t>Ergebnis nach Unternehmenssteuern</t>
  </si>
  <si>
    <t>Ableitung der ausschüttbaren Ergebnisse</t>
  </si>
  <si>
    <t>Unternehmensinformationen</t>
  </si>
  <si>
    <t>Erforderlich</t>
  </si>
  <si>
    <t>Ausgefüllt</t>
  </si>
  <si>
    <t>Bilanz Check</t>
  </si>
  <si>
    <t>Management Summary</t>
  </si>
  <si>
    <t xml:space="preserve">Bewertungsstichtag </t>
  </si>
  <si>
    <t xml:space="preserve">Gesamtleistung </t>
  </si>
  <si>
    <t>PLAN/IST</t>
  </si>
  <si>
    <t>'+/- Δ Finanzierungsbedarf</t>
  </si>
  <si>
    <t>Operating Performance</t>
  </si>
  <si>
    <t>Working Capital Management</t>
  </si>
  <si>
    <t>Vergleich CAGR</t>
  </si>
  <si>
    <t>EBITDA Marge</t>
  </si>
  <si>
    <t>Adj. EBIT Marge</t>
  </si>
  <si>
    <t>Umsatzwachstum</t>
  </si>
  <si>
    <t>Rohmarge</t>
  </si>
  <si>
    <t>in Tage</t>
  </si>
  <si>
    <t>x</t>
  </si>
  <si>
    <t>Kreditorenlaufzeit - wie lange werden Verbindlichkeiten aus LuL gebunden</t>
  </si>
  <si>
    <t>Debitorenlaufzeit - wie lange werden Forderungen aus LuL gebunden</t>
  </si>
  <si>
    <t>Lagerreichweite - wie lange werden Vorräte gebunden</t>
  </si>
  <si>
    <t>Zinsdeckung</t>
  </si>
  <si>
    <t xml:space="preserve">Verschuldung </t>
  </si>
  <si>
    <t>Kennzahlen Analyse</t>
  </si>
  <si>
    <t>verzinsl. Verbindlichkeiten  / Eigenkapital</t>
  </si>
  <si>
    <t>verzinsl. Verbindlichkeiten / Adj. EBITDA</t>
  </si>
  <si>
    <t>verzinsl. Verbindlichkeiten + unverz. Verbindlichkeiten / Adj. EBITDA</t>
  </si>
  <si>
    <t xml:space="preserve">Adj. EBITDA / Zinsaufwand </t>
  </si>
  <si>
    <t>(Adj. EBITDA-Investitionen) / Zinsaufwand</t>
  </si>
  <si>
    <t>Rendite</t>
  </si>
  <si>
    <t>Gesamtkapitalrendite</t>
  </si>
  <si>
    <t>Umsatzrendite</t>
  </si>
  <si>
    <t>EBT Marge</t>
  </si>
  <si>
    <r>
      <t xml:space="preserve">Umsatzrendite </t>
    </r>
    <r>
      <rPr>
        <i/>
        <sz val="11"/>
        <color theme="1"/>
        <rFont val="Calibri"/>
        <family val="2"/>
      </rPr>
      <t>(Jahresüberschuss/-fehlbetrag / Umsatzerlöse)</t>
    </r>
  </si>
  <si>
    <r>
      <t xml:space="preserve">Kapitalumschlag </t>
    </r>
    <r>
      <rPr>
        <i/>
        <sz val="11"/>
        <color theme="1"/>
        <rFont val="Calibri"/>
        <family val="2"/>
      </rPr>
      <t>(Umsatz/Gesamtkapital)</t>
    </r>
  </si>
  <si>
    <r>
      <t xml:space="preserve">Verschuldungsgrad </t>
    </r>
    <r>
      <rPr>
        <i/>
        <sz val="11"/>
        <color theme="1"/>
        <rFont val="Calibri"/>
        <family val="2"/>
      </rPr>
      <t>(Gesamtkapital / Eigenkapital)</t>
    </r>
  </si>
  <si>
    <r>
      <t xml:space="preserve">Eigenkapitalrendite </t>
    </r>
    <r>
      <rPr>
        <i/>
        <sz val="11"/>
        <color theme="1"/>
        <rFont val="Calibri"/>
        <family val="2"/>
      </rPr>
      <t>(Jahresübschuss / Eigenkapital)</t>
    </r>
  </si>
  <si>
    <r>
      <t xml:space="preserve">Geldumschlagsdauer </t>
    </r>
    <r>
      <rPr>
        <i/>
        <sz val="11"/>
        <color theme="1"/>
        <rFont val="Calibri"/>
        <family val="2"/>
      </rPr>
      <t>(= Cash Conversion Cycle)</t>
    </r>
  </si>
  <si>
    <t>Sensitivität - Wertreiber Wachstumsrate und WACC</t>
  </si>
  <si>
    <t>Free Cashflow Phase II</t>
  </si>
  <si>
    <t>WACC Phase II</t>
  </si>
  <si>
    <t>Wachstumsrate</t>
  </si>
  <si>
    <t>EBIT-Mutiple (LTM)</t>
  </si>
  <si>
    <t>im Durchschnitt</t>
  </si>
  <si>
    <t>Profitabilität</t>
  </si>
  <si>
    <t>Kommentar Bewerter</t>
  </si>
  <si>
    <t>Kapitalrentabilität</t>
  </si>
  <si>
    <t>+ Abschreibungen</t>
  </si>
  <si>
    <t>NOPAT (nachhaltig)</t>
  </si>
  <si>
    <t>EBIT Marge  (nachhaltig)</t>
  </si>
  <si>
    <t>EBIT Marge (historisch)</t>
  </si>
  <si>
    <t>Veränderung des investierten Kapitals</t>
  </si>
  <si>
    <t>Einbehaltung NOPAT</t>
  </si>
  <si>
    <t>Free Cashflow to the Firm (nachhaltig)</t>
  </si>
  <si>
    <t>Return on new Investment (RONIC)</t>
  </si>
  <si>
    <t>Kapitalkosten (nachhaltig)</t>
  </si>
  <si>
    <t>EBIT Multiple (LTM)</t>
  </si>
  <si>
    <t>EBIT Multiple (nachhaltig)</t>
  </si>
  <si>
    <t>Historische Planungstreue beträgt für …</t>
  </si>
  <si>
    <t>abs</t>
  </si>
  <si>
    <t>Multiple</t>
  </si>
  <si>
    <t>Restwert ab Phase II</t>
  </si>
  <si>
    <t>diskontierter Restwert ab Phase II</t>
  </si>
  <si>
    <t>+ diskontierte FCF aus Detailplanungszeitraum</t>
  </si>
  <si>
    <t xml:space="preserve">Wert des Eigenkapitals </t>
  </si>
  <si>
    <t>- Wert des Fremdkapitals</t>
  </si>
  <si>
    <t>Min</t>
  </si>
  <si>
    <t>Max</t>
  </si>
  <si>
    <t>Farbe</t>
  </si>
  <si>
    <t>Weiß</t>
  </si>
  <si>
    <t>Kommentar durch Anwender</t>
  </si>
  <si>
    <t>Chart 2 Daten</t>
  </si>
  <si>
    <t>nachhaltige EBIT-Marge</t>
  </si>
  <si>
    <t>laut Angaben</t>
  </si>
  <si>
    <t>berechnet</t>
  </si>
  <si>
    <t>durchschnittliche historische EBIT Marge</t>
  </si>
  <si>
    <t>Sensitivitätsanalyse - Input</t>
  </si>
  <si>
    <t>Plausibilisierung der Management Planung</t>
  </si>
  <si>
    <t>Return on new Investment</t>
  </si>
  <si>
    <t xml:space="preserve">Investitionen </t>
  </si>
  <si>
    <t>Investitionen in % vom Umsatz</t>
  </si>
  <si>
    <t>Nettoinvestitionen</t>
  </si>
  <si>
    <t>NOPAT</t>
  </si>
  <si>
    <t>NOPAT YoY</t>
  </si>
  <si>
    <t>Free Cashflow to the Firm</t>
  </si>
  <si>
    <t>Einbehaltung (rechnerisch)</t>
  </si>
  <si>
    <t>Return on new Investment RONIC</t>
  </si>
  <si>
    <t>operativer Cashflow / Zinsaufwand</t>
  </si>
  <si>
    <t xml:space="preserve">Multiple </t>
  </si>
  <si>
    <t>Tabelle 1: Sensitivitätsanalyse - Unternehmenswert in abhängigkeit von Wachstumsannahme und Kapitalkosten</t>
  </si>
  <si>
    <t>Unternehmenswert - Berechnung</t>
  </si>
  <si>
    <t>Unternehmenswert - Übersicht</t>
  </si>
  <si>
    <t>Faktor</t>
  </si>
  <si>
    <t>Barwertfaktor</t>
  </si>
  <si>
    <t>Ausfallwahrscheinlichkeit</t>
  </si>
  <si>
    <t>Tabelle 2: Sensitivitätsanalyse - Unternehmenswert in abhängigkeit von Wachstumsannahme und Ausfallwahrscheinlichkeit</t>
  </si>
  <si>
    <t xml:space="preserve">angenommene Wachstumsrate </t>
  </si>
  <si>
    <t>laut Anwender</t>
  </si>
  <si>
    <t xml:space="preserve">Ausfallwahrscheinlichkeit d. nachhaltigen Ergebnisses </t>
  </si>
  <si>
    <t>Wachstumsrate nach Berücksichtigung der Ausfallwahrscheinlichkeit</t>
  </si>
  <si>
    <r>
      <t>Wert des Eigenkapitals</t>
    </r>
    <r>
      <rPr>
        <b/>
        <sz val="11"/>
        <color theme="4" tint="-0.499984740745262"/>
        <rFont val="Calibri"/>
        <family val="2"/>
      </rPr>
      <t xml:space="preserve"> </t>
    </r>
    <r>
      <rPr>
        <sz val="11"/>
        <color theme="4" tint="-0.499984740745262"/>
        <rFont val="Calibri"/>
        <family val="2"/>
      </rPr>
      <t>[in Tsd. €]</t>
    </r>
  </si>
  <si>
    <t>Kontrolle</t>
  </si>
  <si>
    <t>Markt</t>
  </si>
  <si>
    <t>Wettbewerber</t>
  </si>
  <si>
    <t>Produkte/Konzepte</t>
  </si>
  <si>
    <t>Markteintrittsbarrieren</t>
  </si>
  <si>
    <t>Kostenstruktur</t>
  </si>
  <si>
    <t>Gering</t>
  </si>
  <si>
    <t>Hoch</t>
  </si>
  <si>
    <t>Geringe externe Renditeeinflüsse</t>
  </si>
  <si>
    <t>starke externe Renditeeinflüsse</t>
  </si>
  <si>
    <t>Stabil, ohne Zyklen</t>
  </si>
  <si>
    <t>Dynamisch, Zyklisch</t>
  </si>
  <si>
    <t>Wenige, konstante Marktanteile</t>
  </si>
  <si>
    <t>Viele, variable Marktanteile</t>
  </si>
  <si>
    <t>Langer Lebenszyklus, nicht substituierbar</t>
  </si>
  <si>
    <t>Kurzer Lebenszyklus, substituierbar</t>
  </si>
  <si>
    <t>Niedrig</t>
  </si>
  <si>
    <t>Geringe Fixkosten</t>
  </si>
  <si>
    <t>Hohe Fixkosten</t>
  </si>
  <si>
    <t>EBITDA-Marge</t>
  </si>
  <si>
    <t>EBIT-Marge</t>
  </si>
  <si>
    <t>EBIT-Marge (normalisiert)</t>
  </si>
  <si>
    <t>EBT-Marge</t>
  </si>
  <si>
    <t>Beschreibung</t>
  </si>
  <si>
    <t>#</t>
  </si>
  <si>
    <t>Vorhanden?</t>
  </si>
  <si>
    <t>Außerordentliches Ergebnis</t>
  </si>
  <si>
    <t>Ihre Unternehmensbewertung</t>
  </si>
  <si>
    <t>1. Allgemeine Annahmen</t>
  </si>
  <si>
    <t>Letztes IST-Jahr</t>
  </si>
  <si>
    <t>Währungseinheit</t>
  </si>
  <si>
    <t>Beteiligungsquote</t>
  </si>
  <si>
    <t>2. Kapitalkosten</t>
  </si>
  <si>
    <t>__ / 100</t>
  </si>
  <si>
    <t>Kapitalisierungsfaktor (§ 203 Abs. 1 BewG)</t>
  </si>
  <si>
    <t>Kapitalisierungsfaktor unter Berücksichtigung Ihres Selbsttests</t>
  </si>
  <si>
    <t>Diskontierungsfaktor (§ 203 Abs. 1 BewG)</t>
  </si>
  <si>
    <t xml:space="preserve">Diskontierungsfaktor </t>
  </si>
  <si>
    <t>Ihr Ergebnis im Exit-Readiness Selbsttest</t>
  </si>
  <si>
    <t>Excel-basierte Unternehmensbewertung</t>
  </si>
  <si>
    <t>Zeitraum</t>
  </si>
  <si>
    <t>Jahr</t>
  </si>
  <si>
    <t>Ergebnis vor Steuern (EBT)</t>
  </si>
  <si>
    <t>Jahresüberschuss / -fehlbetrag</t>
  </si>
  <si>
    <t>Hinzurechnungen gemäß § 202 Abs. 1 Satz 2 Nr. 1 BewG</t>
  </si>
  <si>
    <t>a)</t>
  </si>
  <si>
    <t>b)</t>
  </si>
  <si>
    <t>c)</t>
  </si>
  <si>
    <t>d)</t>
  </si>
  <si>
    <t>e)</t>
  </si>
  <si>
    <t>Ertragsteueraufwand (KSt, Zuschlagsteuern, GewSt)</t>
  </si>
  <si>
    <t>f)</t>
  </si>
  <si>
    <t>Aufwendungen i.Z.m. Vermögen i.S.d. § 200 Abs. 2 und 4 BewG,</t>
  </si>
  <si>
    <t xml:space="preserve">Hinzurechnungen gesamt </t>
  </si>
  <si>
    <t>Kürzungen gemäß § 202 Abs. 1 Satz 2 Nr. 2 BewG</t>
  </si>
  <si>
    <t>Ein angemessener Unternehmerlohn, soweit bislang nicht berücksichtigt</t>
  </si>
  <si>
    <t>Erträge aus der Erstattung von Ertragsteuern (KSt, Zuschlagsteuern, GewSt)</t>
  </si>
  <si>
    <t>Erträge i. Z.m. Vermögen i.S.d. § 200 Abs. 2 bis 4 BewG</t>
  </si>
  <si>
    <t>Kürzungen gesamt</t>
  </si>
  <si>
    <t>Sonstige Hinzurechnungen oder Kürzungen gemäß § 202 Abs. 1 Satz 2 Nr. 3 BewG</t>
  </si>
  <si>
    <t>Sonstige Hinzurechnungen oder Kürzungen gesamt</t>
  </si>
  <si>
    <t>Betriebsergebnis vor Steuern gemäß § 202 Abs. 1 BewG</t>
  </si>
  <si>
    <t>Typisierter Steueraufwand gemäß § 202 Abs. 3 BewG</t>
  </si>
  <si>
    <t>Betriebsergebnis nach typisiertem Steueraufwand</t>
  </si>
  <si>
    <t>Zukünftig nachhaltig zu erzielender Jahresertrag (§ 201 Abs. 1 und Abs. 2 BewG)</t>
  </si>
  <si>
    <t>Kapitalisierungsfaktor gemäß § 203 Abs. 1 BewG</t>
  </si>
  <si>
    <t>Ertragswert gemäß Vereinfachtem Ertragswertverfahren ( § 200 Abs. 1 BewG)</t>
  </si>
  <si>
    <t xml:space="preserve">Nicht betriebsnotwendiges Vermögen (§ 200 Abs. 2 BewG) </t>
  </si>
  <si>
    <t>Nicht betriebsnotwendiges Grundstück</t>
  </si>
  <si>
    <t>Gemeiner Wert des nicht betriebsnotwendigen Vermögens</t>
  </si>
  <si>
    <t>Beteiligungen an anderen Gesellschaften (§ 200 Abs. 3 BewG)</t>
  </si>
  <si>
    <t>Beteiligung 1</t>
  </si>
  <si>
    <t>Beteiligung 2</t>
  </si>
  <si>
    <t>Beteiligung 3</t>
  </si>
  <si>
    <t>Gemeiner Wert der Beteiligungen an anderen Gesellschaften</t>
  </si>
  <si>
    <t>Innerhalb von zwei Jahren vor dem Stichtag eingelegte Wirtschaftsgüter (§ 200 Abs. 4 BewG)</t>
  </si>
  <si>
    <t>WG 1</t>
  </si>
  <si>
    <t>WG 2</t>
  </si>
  <si>
    <t>WG 3</t>
  </si>
  <si>
    <t>Gemeiner Wert der innerhalb von zwei Jahren vor dem Stichtag eingelegten Wirtschaftsgüter</t>
  </si>
  <si>
    <t>Wert der Gesellschaft gemäß vereinfachtem Ertragswertverfahren ( § 200 BewG)</t>
  </si>
  <si>
    <t>Gemeiner Wert des Anteils an der Gesellschaft</t>
  </si>
  <si>
    <t>Wert des Eigenkapitals als Multiplikator auf den nachhaltig zu erzielenden Jahresertrag</t>
  </si>
  <si>
    <t>Tsd. €</t>
  </si>
  <si>
    <t>Übersicht bestehender Finanzverbindlichkeiten</t>
  </si>
  <si>
    <t>Kundenstruktur</t>
  </si>
  <si>
    <t>Lieferantenstruktur</t>
  </si>
  <si>
    <t>Organigramm</t>
  </si>
  <si>
    <t>Investitionsplanung</t>
  </si>
  <si>
    <t>Nicht betriebsnotendiges Vermögen</t>
  </si>
  <si>
    <t>Wichtiger Hinweis:</t>
  </si>
  <si>
    <t>Wert Ihres Anteils nach Berücksichtigung der nachhaltigen Wachstumsrate</t>
  </si>
  <si>
    <t>nach dem vereinfachtem Ertragswertverfahren gemäß §§ 199 ff. BewG</t>
  </si>
  <si>
    <t>END OF SHEET</t>
  </si>
  <si>
    <t>Szenario Manager</t>
  </si>
  <si>
    <t>Dokument</t>
  </si>
  <si>
    <t>Hinweise</t>
  </si>
  <si>
    <t>Wesentlichen Bewertungsparameter</t>
  </si>
  <si>
    <t>Sensitivitäten</t>
  </si>
  <si>
    <t>Beispiel AG</t>
  </si>
  <si>
    <t xml:space="preserve">Wichtiger Hinweis: </t>
  </si>
  <si>
    <t>Betriebswirtschaftliche Auswertung (BWA)</t>
  </si>
  <si>
    <t>Steuerliche Besonderheiten</t>
  </si>
  <si>
    <t xml:space="preserve">Geprüfte Jahresabschlüsse </t>
  </si>
  <si>
    <t>Geprüfte Jahresabschlüsse der letzten drei Geschäftsjahre</t>
  </si>
  <si>
    <t>Monatliche BWA der letzten 12 bis 24 Monate einschließlich Summen- und Saldenliste</t>
  </si>
  <si>
    <t>Übersicht bestehender Darlehen, Leasingverbindlichkeiten und sonstiger Finanzierungen</t>
  </si>
  <si>
    <t>GuV-Planung der nächsten 3 - 5 Jahre</t>
  </si>
  <si>
    <t>Gewinn- und Verlustplanung für die nächsten 3 bis 5 Jahre</t>
  </si>
  <si>
    <t>Bilanzplanung für die nächsten 3 bis 5 Jahre</t>
  </si>
  <si>
    <t>Bilanzplanung der nächsten 3 - 5 Jahre</t>
  </si>
  <si>
    <t>Aktueller bzw. marktüblicher Unternehmerlohn</t>
  </si>
  <si>
    <t>Unternehmerlohn</t>
  </si>
  <si>
    <t>Einmalige Erträge oder Aufwendungen der Vergangenheit</t>
  </si>
  <si>
    <t xml:space="preserve">Aktuelles Organigramm / eine Übersicht der Organisationsstruktur </t>
  </si>
  <si>
    <t>Geplante Investitionen und Ersatzbeschaffungen</t>
  </si>
  <si>
    <t>Immobilien, Wertpapiere, überschüssige Liquidität etc.</t>
  </si>
  <si>
    <t>Umsatzanteile der wichtigsten Kunden</t>
  </si>
  <si>
    <t>Wesentliche Lieferanten und mögliche Abhängigkeiten</t>
  </si>
  <si>
    <t>Verlustvorträge, Betriebsprüfungen und sonstige steuerliche Sondersachverhalte</t>
  </si>
  <si>
    <r>
      <rPr>
        <vertAlign val="superscript"/>
        <sz val="11"/>
        <color theme="1"/>
        <rFont val="Calibri"/>
        <family val="2"/>
      </rPr>
      <t>1)</t>
    </r>
    <r>
      <rPr>
        <sz val="11"/>
        <color theme="1"/>
        <rFont val="Calibri"/>
        <family val="2"/>
      </rPr>
      <t xml:space="preserve"> Die Qualität und Vollständigkeit der Unternehmensbewertung hängt maßgeblich von den vorliegenden Informationen ab.</t>
    </r>
  </si>
  <si>
    <r>
      <t xml:space="preserve">Daten-Check für die erweiterte Unternehmensbewertung
Die Aussagekraft der erweiterten Unternehmensbewertung hängt maßgeblich von der Qualität der zugrunde liegenden Informationen ab.
</t>
    </r>
    <r>
      <rPr>
        <b/>
        <u/>
        <sz val="11"/>
        <color theme="1"/>
        <rFont val="Calibri"/>
        <family val="2"/>
      </rPr>
      <t>Prüfen Sie vor Beginn</t>
    </r>
    <r>
      <rPr>
        <sz val="11"/>
        <color theme="1"/>
        <rFont val="Calibri"/>
        <family val="2"/>
      </rPr>
      <t>, ob Ihnen die nachfolgenden Informationen grundsätzlich vorliegen oder mit vertretbarem Aufwand beschafft werden können.
Je vollständiger und belastbarer die Datenbasis ist, desto aussagekräftiger wird das Bewertungsergebnis.</t>
    </r>
  </si>
  <si>
    <t>Gesellschafterstruktur</t>
  </si>
  <si>
    <t>Informationen zu den Gesellschaftern, Beteiligungsquoten sowie wesentlichen Beteiligungen an anderen Unternehmen</t>
  </si>
  <si>
    <t>Wesentliche Geschäftsbeziehungen</t>
  </si>
  <si>
    <t>Informationen zu wesentlichen Kunden- und Lieferantenabhängigkeiten sowie zu Miet- und Leasingverhältnisse</t>
  </si>
  <si>
    <t>erforderlich</t>
  </si>
  <si>
    <t>Fahrzeugbau &amp; Automotive</t>
  </si>
  <si>
    <t>Elektrotechnik &amp; Elektronik</t>
  </si>
  <si>
    <t>Metallverarbeitung &amp; Fertigungstechnik</t>
  </si>
  <si>
    <t>Chemie, Kunststoffe &amp; Verpackung</t>
  </si>
  <si>
    <t>Medizintechnik &amp; Life Sciences</t>
  </si>
  <si>
    <t>Software &amp; Digitale Plattformen</t>
  </si>
  <si>
    <t>IT-Services &amp; Systemhäuser</t>
  </si>
  <si>
    <t>Medien, Marketing &amp; Agenturen</t>
  </si>
  <si>
    <t>Telekommunikation &amp; Infrastruktur</t>
  </si>
  <si>
    <t>Gesundheitswesen: Pflege &amp; Dienstleister</t>
  </si>
  <si>
    <t>Unternehmensnahe Dienstleistungen (B2B)</t>
  </si>
  <si>
    <t>Bauhaupt- &amp; Baunebengewerbe (Handwerk)</t>
  </si>
  <si>
    <t>Immobilien-Dienstl. &amp; Facility Mgmt.</t>
  </si>
  <si>
    <t>Finanzdienstleistungen &amp; Vers.-Makler</t>
  </si>
  <si>
    <t>Nahrungs- &amp; Genussmittel</t>
  </si>
  <si>
    <t>Konsumgüter (Non-Food)</t>
  </si>
  <si>
    <t>Handel: E-Commerce &amp; Versand</t>
  </si>
  <si>
    <t>Handel: Groß- &amp; Einzelhandel (Stationär)</t>
  </si>
  <si>
    <t>Transport, Logistik &amp; Spedition</t>
  </si>
  <si>
    <t>Bitte geben Sie den vollständigen Unternehmensnamen inkl. Rechtsform ein</t>
  </si>
  <si>
    <t>Text</t>
  </si>
  <si>
    <t xml:space="preserve">Markteintritt neuer Wettbewerber </t>
  </si>
  <si>
    <t>Markt und Wettbewerb</t>
  </si>
  <si>
    <t>Lieferanten und Kunden</t>
  </si>
  <si>
    <t>Wäre das Unternehmen beeinträchtigt, wenn einzelne Schlüsselpersonen kurzfristig ausfallen würden?</t>
  </si>
  <si>
    <t>Geschäftsmodell</t>
  </si>
  <si>
    <t>Sehr gering</t>
  </si>
  <si>
    <t>Mittel</t>
  </si>
  <si>
    <t xml:space="preserve">Hoch </t>
  </si>
  <si>
    <t>Sehr Hoch</t>
  </si>
  <si>
    <t>Wie hoch sind die Markteintrittsbarrieren für potenzielle Wettbewerber?</t>
  </si>
  <si>
    <t>Wie ausgeprägt ist der Wettbewerbsdruck in Ihrem Markt?</t>
  </si>
  <si>
    <t>Wie ausgeprägt ist die Gefahr, dass Ihr Angebot durch alternative Produkte, Dienstleistungen oder Technologien ersetzt wird?</t>
  </si>
  <si>
    <t>Wie ausgeprägt ist die Verhandlungsmacht Ihrer Kunden?</t>
  </si>
  <si>
    <t>Wie ausgeprägt ist die Verhandlungsmacht Ihrer Lieferanten?</t>
  </si>
  <si>
    <t>Wie ausgeprägt ist die Abhängigkeit des Unternehmens von den Gesellschaftern oder der Geschäftsführung?</t>
  </si>
  <si>
    <t>Wie ausgeprägt ist die Diversifikation Ihres Produkt- und Leistungsangebots?</t>
  </si>
  <si>
    <t>Wie ausgeprägt ist die Abhängigkeit Ihres Geschäftsmodells von Konjunktur- oder Marktzyklen?</t>
  </si>
  <si>
    <t>Wie ausgeprägt ist die Planbarkeit zukünftiger Umsätze und Cashflows?</t>
  </si>
  <si>
    <t>Delta zu angemessenem Geschäftsführergehalt</t>
  </si>
  <si>
    <t xml:space="preserve">Ergebnis vor Zinsen und Steuern (EBIT) </t>
  </si>
  <si>
    <t>Ergebnis vor Zinsen, Steuern und Abschreibungen (EBITDA)</t>
  </si>
  <si>
    <t>Rohertragsmarge</t>
  </si>
  <si>
    <t>(Aufwand mit negativem Vorzeichen eintragen, Ertrag mit positivem Vorzeichen eintragen)</t>
  </si>
  <si>
    <t>wird aus GuV übertragen</t>
  </si>
  <si>
    <t>Platzhalter nutzen für weitere Positionen des Umlaufvermögens</t>
  </si>
  <si>
    <t>Desinvestitionen mit negativem Vorzeichen eintragen</t>
  </si>
  <si>
    <t>Investitionen mit positivem Vorzeichen eintragen</t>
  </si>
  <si>
    <t>Zuschreibungen mit positivem Vorzeichen eintragen</t>
  </si>
  <si>
    <t>Platzhalter nutzen für weitere Positionen der unverzinsl. Rückstellungen</t>
  </si>
  <si>
    <t>Platzhalter nutzen für weitere Positionen der verzinsl. Rückstellungen</t>
  </si>
  <si>
    <t xml:space="preserve">Platzhalter nutzen für weitere Positionen des Eigenkapitals </t>
  </si>
  <si>
    <t>Platzhalter nutzen für weitere Positionen der unverzinsl. Verbindlichkeiten</t>
  </si>
  <si>
    <t>Platzhalter nutzen für weitere Positionen der verzinsl. Verbindlichkeiten</t>
  </si>
  <si>
    <t>Anzahl der Detailplanphase</t>
  </si>
  <si>
    <t>Jahre</t>
  </si>
  <si>
    <t xml:space="preserve">Bereinigtes Ergebnis vor Zinsen und Steuern (EBIT) </t>
  </si>
  <si>
    <t>2.1. Unternehmensinformationen</t>
  </si>
  <si>
    <t>2.2. Risikofaktoren</t>
  </si>
  <si>
    <t>Diskontierungsfaktor unter Berücksichtung des Ergebnisses aus dem Exit Readiness Check</t>
  </si>
  <si>
    <t>Gewinn- und Verlustrechnung | Plan</t>
  </si>
  <si>
    <t>3.1. Historie</t>
  </si>
  <si>
    <t>Bitte achten, dass Aktiva und Passiva in der Höhe übereinstimmen müssen</t>
  </si>
  <si>
    <t>Jahresüberschuss mit positivem Vorzeichen und Jahresfehlbetrag mit negativem Vorzeichen eintragen</t>
  </si>
  <si>
    <t>Navigation</t>
  </si>
  <si>
    <t xml:space="preserve">Phase II </t>
  </si>
  <si>
    <t>Gewerbesteuer Hebesatz</t>
  </si>
  <si>
    <t>Gewerbesteuermesszahl</t>
  </si>
  <si>
    <t>laut Eingabe in Input_Allgemein</t>
  </si>
  <si>
    <t>Bitte tragen Sie, abhängig von Ihrem Unternehmenssitz, den geltenden GewSt-Hebesatz ein. siehe hier: https://www.gewerbesteuer.de/</t>
  </si>
  <si>
    <t>Finanzierungsbedarf aus ∆ Anlagevermögen</t>
  </si>
  <si>
    <t>Ergebnis vor Zinsen und Steuern  (EBIT)</t>
  </si>
  <si>
    <t>Net Operating Profit</t>
  </si>
  <si>
    <t>Sockelbetrag</t>
  </si>
  <si>
    <t>60%-Regelung</t>
  </si>
  <si>
    <t>Bitte schätzen Sie die durchschnittliche Restnutzungsdauer des bestehenden Anlagevermögens</t>
  </si>
  <si>
    <t>Bitte schätzen Sie die durchschnittliche Nutzungsdauer des geplanten Anlagevermögens</t>
  </si>
  <si>
    <t>Bitte schätzen Sie das nachhaltige Wachstum in Phase II, also nach der Detailplanungsphase, ab.</t>
  </si>
  <si>
    <t xml:space="preserve">Hinweis zu Zelle G114: Bitte geben Sie den Kassenbestand manuell ein </t>
  </si>
  <si>
    <t>Verlustvortrag zu Periodenbeginn</t>
  </si>
  <si>
    <t>Verlustvortrag zu Periodenende</t>
  </si>
  <si>
    <t>Bemessungsgrundlage</t>
  </si>
  <si>
    <t>Steueraufwand</t>
  </si>
  <si>
    <t>Netto-Fremdkapital Marktwert (zu Periodenbeginn)</t>
  </si>
  <si>
    <t>Effektiver Unternehmenssteuersatz</t>
  </si>
  <si>
    <t>-/+ Δ Finanzanlagen</t>
  </si>
  <si>
    <t>4.1. Allgemeine Planannahmen</t>
  </si>
  <si>
    <t>Zinssatz für überschüssige Liquidität</t>
  </si>
  <si>
    <t>+ Zinsertrag aus überschüssiger Liquidität</t>
  </si>
  <si>
    <t>- Unternehmenssteuern d. fiktiv unverschuldeten Unternehmens</t>
  </si>
  <si>
    <t>+/- Aufnahme/Tilgung Fremdkapital</t>
  </si>
  <si>
    <t>Brutto-Fremdkapital Marktwert</t>
  </si>
  <si>
    <t>Brutto-Fremdkapitalquote</t>
  </si>
  <si>
    <t>Brutto-Fremdkapital Kosten (effektiv)</t>
  </si>
  <si>
    <t xml:space="preserve">Brutto Fremdkapital Marktwert (zu Periodenbeginn) </t>
  </si>
  <si>
    <t>Liquidität</t>
  </si>
  <si>
    <t>- Netto Fremdkapital</t>
  </si>
  <si>
    <t>Steuerlich festgesellter Verlustvortrag eintragen (sowohl Vortrag aus KSt sowie GewSt)</t>
  </si>
  <si>
    <t>Gewinn- und Verlustrechnung | Historie</t>
  </si>
  <si>
    <t>Allgemeine Plannahmen</t>
  </si>
  <si>
    <t>Ende der Detailplanungsphase</t>
  </si>
  <si>
    <t>Hamada</t>
  </si>
  <si>
    <t>HP</t>
  </si>
  <si>
    <t>Beta</t>
  </si>
  <si>
    <t>Q2/2026</t>
  </si>
  <si>
    <t>hinen- und Anlagenbau</t>
  </si>
  <si>
    <t>&lt; € 5m</t>
  </si>
  <si>
    <t>€ 5m - € 50m</t>
  </si>
  <si>
    <t>&gt; € 50m</t>
  </si>
  <si>
    <t>Zinssatz</t>
  </si>
  <si>
    <t>Wert des Eigenkapitals zum Bewertungsstichtag</t>
  </si>
  <si>
    <t xml:space="preserve">Bewertung zum </t>
  </si>
  <si>
    <t>Stichtagsanpassung</t>
  </si>
  <si>
    <t>EBITDA-Mutiple - auf Basis des letzten IST-Jahres</t>
  </si>
  <si>
    <t>Kommentar durch Bewerter</t>
  </si>
  <si>
    <t>Quality of Earnings</t>
  </si>
  <si>
    <t xml:space="preserve">EBITDA (historisch) </t>
  </si>
  <si>
    <t>EBITDA(nachhaltig)</t>
  </si>
  <si>
    <t>EBIT Multiple - auf Basis des letzten IST-Jahres</t>
  </si>
  <si>
    <t>Branche auswählen</t>
  </si>
  <si>
    <t xml:space="preserve">implizite Wachstumsrate g </t>
  </si>
  <si>
    <t>Δ NOPAT (nachhaltig)</t>
  </si>
  <si>
    <t>investiertes Kapital (nachhaltig)</t>
  </si>
  <si>
    <t>investiertes Kapital (in % von NOPAT)</t>
  </si>
  <si>
    <t>FCF (historisch)</t>
  </si>
  <si>
    <t>FCF (nachhaltig)</t>
  </si>
  <si>
    <t>letztes IST-Jahr</t>
  </si>
  <si>
    <t>Cash Conversion (nachhaltig)</t>
  </si>
  <si>
    <t xml:space="preserve">Cash Conversion (historisch) </t>
  </si>
  <si>
    <t>5. Wesentlichen Bewertungsparameter</t>
  </si>
  <si>
    <t>4.2. Planungsrechnung</t>
  </si>
  <si>
    <t>Operative Performance</t>
  </si>
  <si>
    <t>EBITDA-Mutiple für ausgewählte Branche - unteres Band</t>
  </si>
  <si>
    <t>EBITDA-Mutiple für ausgewählte Branche - oberes Band</t>
  </si>
  <si>
    <t>EBIT CAGR</t>
  </si>
  <si>
    <t>Umsatz CAGR</t>
  </si>
  <si>
    <r>
      <t xml:space="preserve">Geldumschlagsdauer </t>
    </r>
    <r>
      <rPr>
        <b/>
        <i/>
        <sz val="11"/>
        <color theme="1"/>
        <rFont val="Calibri"/>
        <family val="2"/>
      </rPr>
      <t>(= Cash Conversion Cycle)</t>
    </r>
  </si>
  <si>
    <t>5.1. Sensitivitäten</t>
  </si>
  <si>
    <t>5.3. Kennzahlen Analyse</t>
  </si>
  <si>
    <t>5.2. Plausibilisierung der Management Planung</t>
  </si>
  <si>
    <t>Chart 1 Daten</t>
  </si>
  <si>
    <t>UW</t>
  </si>
  <si>
    <r>
      <t>Wert Ihres Anteils nach dem Multiplikatorverfahren [in Euro]</t>
    </r>
    <r>
      <rPr>
        <b/>
        <vertAlign val="superscript"/>
        <sz val="16"/>
        <color theme="1" tint="0.499984740745262"/>
        <rFont val="Calibri"/>
        <family val="2"/>
      </rPr>
      <t>1)</t>
    </r>
  </si>
  <si>
    <r>
      <rPr>
        <vertAlign val="superscript"/>
        <sz val="11"/>
        <color theme="1" tint="0.499984740745262"/>
        <rFont val="Calibri"/>
        <family val="2"/>
      </rPr>
      <t xml:space="preserve">1) </t>
    </r>
    <r>
      <rPr>
        <sz val="11"/>
        <color theme="1" tint="0.499984740745262"/>
        <rFont val="Calibri"/>
        <family val="2"/>
      </rPr>
      <t>Das Multiplikatorverfahren wird gemäß IDW S 1 i.d.F. 2026 als Plausibilisierung des fundamentalen Werts herangezogen.</t>
    </r>
  </si>
  <si>
    <t xml:space="preserve">Durchschnittliche EBIT-Marge [historisch]
</t>
  </si>
  <si>
    <t xml:space="preserve">Durchschnittliche EBIT-Marge [nachhaltig]
</t>
  </si>
  <si>
    <t>Bitte geben Sie hier das aktuelle Jahr an</t>
  </si>
  <si>
    <t>Bitte geben Sie Ihre Beteiligungsquote am Bewertungsobjekt an</t>
  </si>
  <si>
    <t>Tragen Sie den Bewertungsstichtag in DD.MM.JJJJ ein</t>
  </si>
  <si>
    <t>Den Selbsttest zur Exit-Readiness finden Sie unter www.value-mat.com</t>
  </si>
  <si>
    <t>€</t>
  </si>
  <si>
    <t>Mio. €</t>
  </si>
  <si>
    <r>
      <t xml:space="preserve">Wert Ihres Anteils unter Berücksichtigung des Wachstums [in €] </t>
    </r>
    <r>
      <rPr>
        <b/>
        <vertAlign val="superscript"/>
        <sz val="16"/>
        <color theme="1" tint="0.499984740745262"/>
        <rFont val="Calibri"/>
        <family val="2"/>
      </rPr>
      <t>1)</t>
    </r>
  </si>
  <si>
    <t>6. Plausibilisierung der Management Planung</t>
  </si>
  <si>
    <t>6.1. Kennzahlen Analyse</t>
  </si>
  <si>
    <t>Zahlungsstrom aus Finanzierung</t>
  </si>
  <si>
    <t>Operativer Zahlungsstrom</t>
  </si>
  <si>
    <t>Freier Zahlungsstrom</t>
  </si>
  <si>
    <t>Nicht nachhaltige oder steuerlich bedingte Aufwendungen werden dem Jahresergebnis wieder hinzugerechnet, um die tatsächliche Ertragskraft des Unternehmens abzubilden</t>
  </si>
  <si>
    <t>Absetzungen auf den Geschäfts- oder Firmenwert, Absetzungen auf firmenwertähnliche Wirtschaftsgüter</t>
  </si>
  <si>
    <t>Einmalige Veräußerungsverluste, Außerordentliche Aufwendungen</t>
  </si>
  <si>
    <t xml:space="preserve">Investitionsabzugsbeträge, Sonderabschreibungen, Teilwertabschreibungen </t>
  </si>
  <si>
    <t>Nicht nachhaltige oder einmalige Erträge werden vom Jahresergebnis abgezogen, damit nur die dauerhaft erzielbare Ertragskraft berücksichtigt wird.</t>
  </si>
  <si>
    <t>Gewinnerhöhende Auflösungsbeträge steuerfreier Rücklagen</t>
  </si>
  <si>
    <t>Einmalige Veräußerungsgewinne, Außerordentliche Erträge</t>
  </si>
  <si>
    <t>Im Gewinn enthaltene Investitionszulagen</t>
  </si>
  <si>
    <t>Erträge aus Vermögenswerten, die separat bewertet werden (z. B. nicht betriebsnotwendige Immobilien oder Beteiligungen), werden vom Jahresergebnis abgezogen, um eine Doppelzählung zu vermeiden</t>
  </si>
  <si>
    <t xml:space="preserve">Aufwendungen aus Vermögenswerten, die separat bewertet werden (z. B. nicht betriebsnotwendige Immobilien oder Beteiligungen), werden zum Jahresergebnis hinzugerechnet </t>
  </si>
  <si>
    <t>Sofern in Zukunft mit weiteren zulagebegünstigten Investitionen in gleichem Umfang gerechnet werden kann</t>
  </si>
  <si>
    <r>
      <t xml:space="preserve">Im Gewinn </t>
    </r>
    <r>
      <rPr>
        <u/>
        <sz val="11"/>
        <color theme="1"/>
        <rFont val="Calibri"/>
        <family val="2"/>
      </rPr>
      <t xml:space="preserve">nicht </t>
    </r>
    <r>
      <rPr>
        <sz val="11"/>
        <color theme="1"/>
        <rFont val="Calibri"/>
        <family val="2"/>
      </rPr>
      <t>enthaltene Investitionszulagen</t>
    </r>
  </si>
  <si>
    <r>
      <t xml:space="preserve">Sofern in Zukunft </t>
    </r>
    <r>
      <rPr>
        <i/>
        <u/>
        <sz val="11"/>
        <color theme="4"/>
        <rFont val="Calibri"/>
        <family val="2"/>
      </rPr>
      <t xml:space="preserve">nicht </t>
    </r>
    <r>
      <rPr>
        <i/>
        <sz val="11"/>
        <color theme="4"/>
        <rFont val="Calibri"/>
        <family val="2"/>
      </rPr>
      <t>mit weiteren zulagebegünstigten Investitionen in gleichem Umfang gerechnet werden kann</t>
    </r>
  </si>
  <si>
    <t>Nicht betriebsübliche Sondereffekte werden korrigiert, damit das Ergebnis die nachhaltige Ertragskraft widerspiegelt. Beispiel: Der Gesellschafter lässt regelmäßig private Kosten in Höhe von 10 T€ über das Unternehmen laufen.</t>
  </si>
  <si>
    <t>Sonstige wirtschaftlich Vermögensminderungen oder -erhöhungen mit gesellschaftsrechtlichem Bezug</t>
  </si>
  <si>
    <t>Vermögenswerte wie überschüssige Immobilien oder Beteiligungen werden separat bewertet und zum Unternehmenswert addiert.</t>
  </si>
  <si>
    <t>[Platzerhalter für NbV 2]</t>
  </si>
  <si>
    <t>[Platzerhalter für NbV 3]</t>
  </si>
  <si>
    <t>Sollen Hinzurechnungen als Summe oder einzeln eintragen werden?</t>
  </si>
  <si>
    <t xml:space="preserve">Summe aller Hinzurechnungen </t>
  </si>
  <si>
    <t>Sollen Kürzungen als Summe oder einzeln eintragen werden?</t>
  </si>
  <si>
    <t>falls keine Hinzurechnungen angefallen sind, wählen Sie bitte "Summe eingeben" und lassen die Zellen frei.</t>
  </si>
  <si>
    <t xml:space="preserve">Sind sonstige Hinzurechnungen oder Kürzungen angefallen? </t>
  </si>
  <si>
    <t xml:space="preserve">Sind nicht betriebsnotwendige Vermögenswerte vorhanden? </t>
  </si>
  <si>
    <t>Eigenständig zu bewertende Wirtschaftsgüter (Grundstück, Gebäude, Wirtschaftsgüter, Beteligungen etc.) gemäß § 200 Abs. 2 bis Abs. 4 BewG</t>
  </si>
  <si>
    <r>
      <rPr>
        <vertAlign val="superscript"/>
        <sz val="11"/>
        <color theme="1" tint="0.499984740745262"/>
        <rFont val="Calibri"/>
        <family val="2"/>
      </rPr>
      <t xml:space="preserve">1) </t>
    </r>
    <r>
      <rPr>
        <sz val="11"/>
        <color theme="1" tint="0.499984740745262"/>
        <rFont val="Calibri"/>
        <family val="2"/>
      </rPr>
      <t>Das Wachstum wurde pauschal auf Basis Ihrer Angaben berechnet und bezieht sich auf das nachhaltige Jahresergebnis.</t>
    </r>
  </si>
  <si>
    <t xml:space="preserve">Nächste Schritte </t>
  </si>
  <si>
    <t>Prüfen Sie jetzt unverbindlich, ob Ihre Unterlagen für die erweiterte Unternehmensbewertung geeignet sind.</t>
  </si>
  <si>
    <t>👉 Zum Datencheck</t>
  </si>
  <si>
    <t>www.value-mat.com</t>
  </si>
  <si>
    <t>hamoon.fatah@value-mat.com</t>
  </si>
  <si>
    <r>
      <rPr>
        <b/>
        <sz val="18"/>
        <color rgb="FF002060"/>
        <rFont val="Calibri"/>
        <family val="2"/>
      </rPr>
      <t xml:space="preserve">Bitte beachten Sie: </t>
    </r>
    <r>
      <rPr>
        <b/>
        <sz val="18"/>
        <color theme="1"/>
        <rFont val="Calibri"/>
        <family val="2"/>
      </rPr>
      <t xml:space="preserve">
</t>
    </r>
    <r>
      <rPr>
        <sz val="11"/>
        <color theme="1"/>
        <rFont val="Calibri"/>
        <family val="2"/>
      </rPr>
      <t>Das</t>
    </r>
    <r>
      <rPr>
        <b/>
        <sz val="11"/>
        <color theme="1"/>
        <rFont val="Calibri"/>
        <family val="2"/>
      </rPr>
      <t xml:space="preserve"> vereinfachte Ertragswertverfahren</t>
    </r>
    <r>
      <rPr>
        <sz val="11"/>
        <color theme="1"/>
        <rFont val="Calibri"/>
        <family val="2"/>
      </rPr>
      <t xml:space="preserve"> liefert Ihnen eine erste Orientierung auf Basis der gesetzlichen Bewertungsregeln gemäß §§ 199 ff. BewG.
Die entscheidende Frage ist jedoch; </t>
    </r>
    <r>
      <rPr>
        <b/>
        <sz val="11"/>
        <color rgb="FF002060"/>
        <rFont val="Calibri"/>
        <family val="2"/>
      </rPr>
      <t xml:space="preserve">würde ein Käufer, Investor oder eine Bank zu demselben Ergebnis kommen? </t>
    </r>
    <r>
      <rPr>
        <sz val="11"/>
        <color theme="1"/>
        <rFont val="Calibri"/>
        <family val="2"/>
      </rPr>
      <t xml:space="preserve">
Das vereinfachte Bewertungsmodell berücksichtigt </t>
    </r>
    <r>
      <rPr>
        <b/>
        <u/>
        <sz val="11"/>
        <color theme="1"/>
        <rFont val="Calibri"/>
        <family val="2"/>
      </rPr>
      <t>nicht</t>
    </r>
    <r>
      <rPr>
        <sz val="11"/>
        <color theme="1"/>
        <rFont val="Calibri"/>
        <family val="2"/>
      </rPr>
      <t xml:space="preserve">:
</t>
    </r>
    <r>
      <rPr>
        <b/>
        <sz val="11"/>
        <color rgb="FFFF0000"/>
        <rFont val="Calibri"/>
        <family val="2"/>
      </rPr>
      <t>❌</t>
    </r>
    <r>
      <rPr>
        <sz val="11"/>
        <color theme="1"/>
        <rFont val="Calibri"/>
        <family val="2"/>
      </rPr>
      <t xml:space="preserve"> Ihre zukünftige Unternehmensplanung
</t>
    </r>
    <r>
      <rPr>
        <b/>
        <sz val="11"/>
        <color rgb="FFFF0000"/>
        <rFont val="Calibri"/>
        <family val="2"/>
      </rPr>
      <t>❌</t>
    </r>
    <r>
      <rPr>
        <sz val="11"/>
        <color theme="1"/>
        <rFont val="Calibri"/>
        <family val="2"/>
      </rPr>
      <t xml:space="preserve"> individuelle Chancen und Risiken Ihres Geschäftsmodells
</t>
    </r>
    <r>
      <rPr>
        <b/>
        <sz val="11"/>
        <color rgb="FFFF0000"/>
        <rFont val="Calibri"/>
        <family val="2"/>
      </rPr>
      <t>❌</t>
    </r>
    <r>
      <rPr>
        <sz val="11"/>
        <color theme="1"/>
        <rFont val="Calibri"/>
        <family val="2"/>
      </rPr>
      <t xml:space="preserve"> Kunden- und Lieferantenabhängigkeiten
</t>
    </r>
    <r>
      <rPr>
        <b/>
        <sz val="11"/>
        <color rgb="FFFF0000"/>
        <rFont val="Calibri"/>
        <family val="2"/>
      </rPr>
      <t>❌</t>
    </r>
    <r>
      <rPr>
        <sz val="11"/>
        <color theme="1"/>
        <rFont val="Calibri"/>
        <family val="2"/>
      </rPr>
      <t xml:space="preserve"> geplante Investitionen und Wachstumsvorhaben
</t>
    </r>
    <r>
      <rPr>
        <b/>
        <sz val="11"/>
        <color rgb="FFFF0000"/>
        <rFont val="Calibri"/>
        <family val="2"/>
      </rPr>
      <t>❌</t>
    </r>
    <r>
      <rPr>
        <sz val="11"/>
        <color theme="1"/>
        <rFont val="Calibri"/>
        <family val="2"/>
      </rPr>
      <t xml:space="preserve"> individuelle Kapitalkosten
</t>
    </r>
    <r>
      <rPr>
        <b/>
        <sz val="11"/>
        <color rgb="FFFF0000"/>
        <rFont val="Calibri"/>
        <family val="2"/>
      </rPr>
      <t>❌</t>
    </r>
    <r>
      <rPr>
        <sz val="11"/>
        <color theme="1"/>
        <rFont val="Calibri"/>
        <family val="2"/>
      </rPr>
      <t xml:space="preserve"> bank- und investorenübliche Bewertungsmethoden</t>
    </r>
  </si>
  <si>
    <r>
      <rPr>
        <sz val="11"/>
        <color rgb="FF0047AB"/>
        <rFont val="Calibri"/>
        <family val="2"/>
      </rPr>
      <t xml:space="preserve">🌐 </t>
    </r>
    <r>
      <rPr>
        <sz val="11"/>
        <color theme="1"/>
        <rFont val="Calibri"/>
        <family val="2"/>
      </rPr>
      <t>Weitere Informationen zur erweiterten Unternehmensbewertung finden Sie auf</t>
    </r>
  </si>
  <si>
    <r>
      <rPr>
        <sz val="11"/>
        <color rgb="FF0047AB"/>
        <rFont val="Calibri"/>
        <family val="2"/>
      </rPr>
      <t>📧</t>
    </r>
    <r>
      <rPr>
        <sz val="11"/>
        <color theme="1"/>
        <rFont val="Calibri"/>
        <family val="2"/>
      </rPr>
      <t xml:space="preserve"> Haben Sie noch Fragen? </t>
    </r>
  </si>
  <si>
    <t>1)</t>
  </si>
  <si>
    <t>2)</t>
  </si>
  <si>
    <t>3)</t>
  </si>
  <si>
    <t>4)</t>
  </si>
  <si>
    <t>5)</t>
  </si>
  <si>
    <r>
      <rPr>
        <b/>
        <sz val="18"/>
        <color rgb="FF002060"/>
        <rFont val="Calibri"/>
        <family val="2"/>
      </rPr>
      <t>Die Lösung:</t>
    </r>
    <r>
      <rPr>
        <sz val="11"/>
        <color theme="1"/>
        <rFont val="Calibri"/>
        <family val="2"/>
      </rPr>
      <t xml:space="preserve">
Das </t>
    </r>
    <r>
      <rPr>
        <b/>
        <sz val="11"/>
        <color theme="1"/>
        <rFont val="Calibri"/>
        <family val="2"/>
      </rPr>
      <t xml:space="preserve">erweiterte Bewertungsverfahren </t>
    </r>
    <r>
      <rPr>
        <sz val="11"/>
        <color theme="1"/>
        <rFont val="Calibri"/>
        <family val="2"/>
      </rPr>
      <t xml:space="preserve">geht deutlich weiter. Es ergänzt die Analyse um die Zukunftsperspektive Ihres Unternehmens und die wesentlichen Werttreiber, die für Investoren, Käufer und finanzierende Banken häufig entscheidend sind. 
Es hilft Ihnen zu verstehen:
</t>
    </r>
    <r>
      <rPr>
        <b/>
        <sz val="11"/>
        <color rgb="FF00B050"/>
        <rFont val="Calibri"/>
        <family val="2"/>
      </rPr>
      <t xml:space="preserve">✅ </t>
    </r>
    <r>
      <rPr>
        <sz val="11"/>
        <color theme="1"/>
        <rFont val="Calibri"/>
        <family val="2"/>
      </rPr>
      <t xml:space="preserve">wie sich Wachstum auf den Unternehmenswert auswirkt
</t>
    </r>
    <r>
      <rPr>
        <b/>
        <sz val="11"/>
        <color rgb="FF00B050"/>
        <rFont val="Calibri"/>
        <family val="2"/>
      </rPr>
      <t xml:space="preserve">✅ </t>
    </r>
    <r>
      <rPr>
        <sz val="11"/>
        <color theme="1"/>
        <rFont val="Calibri"/>
        <family val="2"/>
      </rPr>
      <t xml:space="preserve">welchen Einfluss Investitionen haben
</t>
    </r>
    <r>
      <rPr>
        <b/>
        <sz val="11"/>
        <color rgb="FF00B050"/>
        <rFont val="Calibri"/>
        <family val="2"/>
      </rPr>
      <t>✅</t>
    </r>
    <r>
      <rPr>
        <sz val="11"/>
        <color theme="1"/>
        <rFont val="Calibri"/>
        <family val="2"/>
      </rPr>
      <t xml:space="preserve"> wie Banken und Investoren auf Ihr Unternehmen schauen
</t>
    </r>
    <r>
      <rPr>
        <b/>
        <sz val="11"/>
        <color rgb="FF00B050"/>
        <rFont val="Calibri"/>
        <family val="2"/>
      </rPr>
      <t>✅</t>
    </r>
    <r>
      <rPr>
        <sz val="11"/>
        <color theme="1"/>
        <rFont val="Calibri"/>
        <family val="2"/>
      </rPr>
      <t xml:space="preserve"> welche Faktoren den Unternehmenswert erhöhen oder reduzieren
</t>
    </r>
    <r>
      <rPr>
        <b/>
        <sz val="11"/>
        <color rgb="FF00B050"/>
        <rFont val="Calibri"/>
        <family val="2"/>
      </rPr>
      <t>✅</t>
    </r>
    <r>
      <rPr>
        <sz val="11"/>
        <color theme="1"/>
        <rFont val="Calibri"/>
        <family val="2"/>
      </rPr>
      <t xml:space="preserve"> wie empfindlich Ihr Unternehmenswert auf Veränderungen reagiert
</t>
    </r>
    <r>
      <rPr>
        <b/>
        <sz val="11"/>
        <color rgb="FF00B050"/>
        <rFont val="Calibri"/>
        <family val="2"/>
      </rPr>
      <t>✅</t>
    </r>
    <r>
      <rPr>
        <sz val="11"/>
        <color theme="1"/>
        <rFont val="Calibri"/>
        <family val="2"/>
      </rPr>
      <t xml:space="preserve"> welcher Unternehmenswert unter realistischen Marktannahmen plausibel erscheint</t>
    </r>
  </si>
  <si>
    <r>
      <t xml:space="preserve">Bitte lesen Sie diesen Hinweis vollständig, </t>
    </r>
    <r>
      <rPr>
        <u/>
        <sz val="11"/>
        <color theme="1"/>
        <rFont val="Calibri"/>
        <family val="2"/>
      </rPr>
      <t>bevor Sie das erweiterte Bewertungsmodell nutzen.</t>
    </r>
    <r>
      <rPr>
        <sz val="11"/>
        <color theme="1"/>
        <rFont val="Calibri"/>
        <family val="2"/>
      </rPr>
      <t xml:space="preserve">
Das erweiterte Bewertungsmodell ist kein Schnellrechner und</t>
    </r>
    <r>
      <rPr>
        <b/>
        <sz val="11"/>
        <color theme="1"/>
        <rFont val="Calibri"/>
        <family val="2"/>
      </rPr>
      <t xml:space="preserve"> richtet sich ausdrücklich an Unternehmer, die über belastbare Unternehmensdaten verfügen oder diese mit vertretbarem Aufwand zusammenstellen können</t>
    </r>
    <r>
      <rPr>
        <sz val="11"/>
        <color theme="1"/>
        <rFont val="Calibri"/>
        <family val="2"/>
      </rPr>
      <t xml:space="preserve">.
Für eine aussagekräftige Unternehmensbewertung benötigen Sie unter anderem historische Finanzdaten, eine Unternehmensplanung, Informationen zu Finanzierungen, Investitionen sowie weitere Angaben zu Ihrem Unternehmen. </t>
    </r>
    <r>
      <rPr>
        <b/>
        <sz val="11"/>
        <color theme="1"/>
        <rFont val="Calibri"/>
        <family val="2"/>
      </rPr>
      <t>Die Qualität des Bewertungsergebnisses hängt maßgeblich von der Qualität und Vollständigkeit dieser Informationen ab</t>
    </r>
    <r>
      <rPr>
        <sz val="11"/>
        <color theme="1"/>
        <rFont val="Calibri"/>
        <family val="2"/>
      </rPr>
      <t>.
Wenn Sie die in der Daten-Checkliste genannten Informationen nicht oder nur teilweise bereitstellen können, ist das Modell möglicherweise nicht die richtige Lösung für Sie.
Um unrealistische Erwartungen zu vermeiden, prüfe ich gerne vorab und unverbindlich, ob Ihre vorhandenen Unterlagen und Informationen für die Anwendung des Modells ausreichend sind. In den meisten Fällen kann ich innerhalb kurzer Zeit einschätzen, ob das Modell für Ihre Situation geeignet ist und mit welcher Aussagekraft das Ergebnis voraussichtlich erstellt werden kann.
hamoon.fatah@value-mat.com
Sollte sich herausstellen, dass die Datengrundlage unvollständig ist oder die Bewertung einen höheren Unterstützungsbedarf erfordert, unterstütze ich Sie gerne auch persönlich bei der Durchführung und Aufbereitung der Bewertung.
Investieren Sie nur in das Modell, wenn Sie daraus tatsächlich einen belastbaren Mehrwert ziehen können.</t>
    </r>
  </si>
  <si>
    <r>
      <t xml:space="preserve">Daten-Check für die erweiterte Unternehmensbewertung
Die Aussagekraft der erweiterten Unternehmensbewertung hängt maßgeblich von der Qualität der zugrunde liegenden Informationen ab.
</t>
    </r>
    <r>
      <rPr>
        <b/>
        <u/>
        <sz val="11"/>
        <color theme="1"/>
        <rFont val="Calibri"/>
        <family val="2"/>
      </rPr>
      <t>Prüfen Sie vorab</t>
    </r>
    <r>
      <rPr>
        <sz val="11"/>
        <color theme="1"/>
        <rFont val="Calibri"/>
        <family val="2"/>
      </rPr>
      <t>, ob Ihnen die nachfolgenden Informationen grundsätzlich vorliegen oder mit vertretbarem Aufwand beschafft werden können.
Je vollständiger und belastbarer die Datenbasis ist, desto aussagekräftiger wird das Bewertungsergebnis.</t>
    </r>
  </si>
  <si>
    <t>Detailplanungsphase</t>
  </si>
  <si>
    <t>Wieviele Jahre umfasst Ihre Gesamtwirtschaftliche Planungsrechnung?</t>
  </si>
  <si>
    <t>in Anlehnung an den IDW S 1</t>
  </si>
  <si>
    <t>Benötigen Sie Unterstützung?</t>
  </si>
  <si>
    <r>
      <t xml:space="preserve">Gerne unterstütze ich Sie persönlich bei der Anwendung des Tools und übernehme auf Wunsch die Eingabe der Daten für Sie. Hierfür stellen Sie die erforderlichen Informationen und Unterlagen zur Verfügung, während ich die Bewertung im Tool aufbereite.
Optional erläutere ich Ihnen die zugrunde liegenden Annahmen, die Vorgehensweise sowie die Bewertungsergebnisse in einem persönlichen Online-Termin.
</t>
    </r>
    <r>
      <rPr>
        <i/>
        <sz val="11"/>
        <color theme="1"/>
        <rFont val="Calibri"/>
        <family val="2"/>
      </rPr>
      <t>(Da ich diese Unterstützung ausschließlich selbst durchführe, ist die Anzahl der Fälle auf maximal fünf Unternehmen pro Monat begrenzt.)</t>
    </r>
    <r>
      <rPr>
        <sz val="11"/>
        <color theme="1"/>
        <rFont val="Calibri"/>
        <family val="2"/>
      </rPr>
      <t xml:space="preserve">
Bitte fragen Sie vorab die Verfügbarkeit an:
hamoon.fatah@value-mat.com
Ich freue mich auf Ihre Nachricht.
Hamoon Fatah, CFA
value-mat.com</t>
    </r>
  </si>
  <si>
    <t>laut §203 Abs. 1 BewG vorgegeben</t>
  </si>
  <si>
    <r>
      <rPr>
        <sz val="11"/>
        <color rgb="FF0047AB"/>
        <rFont val="Calibri"/>
        <family val="2"/>
      </rPr>
      <t>🌐</t>
    </r>
    <r>
      <rPr>
        <sz val="11"/>
        <color theme="1"/>
        <rFont val="Calibri"/>
        <family val="2"/>
      </rPr>
      <t xml:space="preserve"> Weitere Informationen zur erweiterten Unternehmensbewertung finden Sie auf</t>
    </r>
  </si>
  <si>
    <r>
      <rPr>
        <b/>
        <sz val="18"/>
        <rFont val="Calibri"/>
        <family val="2"/>
      </rPr>
      <t xml:space="preserve">
Was Sie erhalten:
</t>
    </r>
    <r>
      <rPr>
        <sz val="12"/>
        <color rgb="FF00B050"/>
        <rFont val="Calibri"/>
        <family val="2"/>
      </rPr>
      <t xml:space="preserve">
✅ </t>
    </r>
    <r>
      <rPr>
        <sz val="12"/>
        <rFont val="Calibri"/>
        <family val="2"/>
      </rPr>
      <t xml:space="preserve">Bewertung nach §§ 199 ff. BewG.
</t>
    </r>
    <r>
      <rPr>
        <sz val="12"/>
        <color rgb="FF00B050"/>
        <rFont val="Calibri"/>
        <family val="2"/>
      </rPr>
      <t xml:space="preserve">✅ </t>
    </r>
    <r>
      <rPr>
        <sz val="12"/>
        <rFont val="Calibri"/>
        <family val="2"/>
      </rPr>
      <t xml:space="preserve">Erste Unternehmenswert-Indikation
</t>
    </r>
    <r>
      <rPr>
        <sz val="12"/>
        <color rgb="FF00B050"/>
        <rFont val="Calibri"/>
        <family val="2"/>
      </rPr>
      <t xml:space="preserve">
✅</t>
    </r>
    <r>
      <rPr>
        <sz val="12"/>
        <rFont val="Calibri"/>
        <family val="2"/>
      </rPr>
      <t xml:space="preserve"> Ergebnis in c. 15 Minuten
</t>
    </r>
    <r>
      <rPr>
        <sz val="12"/>
        <color rgb="FF00B050"/>
        <rFont val="Calibri"/>
        <family val="2"/>
      </rPr>
      <t xml:space="preserve">
✅</t>
    </r>
    <r>
      <rPr>
        <sz val="12"/>
        <rFont val="Calibri"/>
        <family val="2"/>
      </rPr>
      <t xml:space="preserve"> Orientierung für Nachfolge, Verkauf oder Finanzierung
</t>
    </r>
    <r>
      <rPr>
        <b/>
        <sz val="18"/>
        <rFont val="Calibri"/>
        <family val="2"/>
      </rPr>
      <t xml:space="preserve">Bitte beachten Sie:
</t>
    </r>
    <r>
      <rPr>
        <sz val="12"/>
        <rFont val="Calibri"/>
        <family val="2"/>
      </rPr>
      <t xml:space="preserve">Das vereinfachte Ertragswertverfahren dient einer ersten Orientierung und basiert auf den </t>
    </r>
    <r>
      <rPr>
        <u/>
        <sz val="12"/>
        <rFont val="Calibri"/>
        <family val="2"/>
      </rPr>
      <t>pauschalen Bewertungsannahmen der Finanzverwaltung</t>
    </r>
    <r>
      <rPr>
        <sz val="12"/>
        <rFont val="Calibri"/>
        <family val="2"/>
      </rPr>
      <t xml:space="preserve">. 
Kernbestandteil des Verfahrens ist ein gesetzlich festgelegter Kapitalisierungsfaktor, der unabhängig von Branche, Geschäftsmodell oder individuellem Unternehmensrisiko angewendet wird. Dadurch werden Unternehmen mit sehr unterschiedlichen Chancen- und Risikoprofilen grundsätzlich nach derselben Systematik bewertet. 
</t>
    </r>
    <r>
      <rPr>
        <b/>
        <sz val="12"/>
        <color theme="1"/>
        <rFont val="Calibri"/>
        <family val="2"/>
      </rPr>
      <t xml:space="preserve">Das </t>
    </r>
    <r>
      <rPr>
        <b/>
        <sz val="12"/>
        <color rgb="FF0047AB"/>
        <rFont val="Calibri"/>
        <family val="2"/>
      </rPr>
      <t>erweiterte Bewertungsmodell</t>
    </r>
    <r>
      <rPr>
        <b/>
        <sz val="12"/>
        <color theme="1"/>
        <rFont val="Calibri"/>
        <family val="2"/>
      </rPr>
      <t xml:space="preserve"> ergänzt die Betrachtung um Unternehmensplanung, Wachstum, Investitionen, individuelle Risiken und wertrelevante Besonderheiten Ihres Geschäftsmodells.</t>
    </r>
  </si>
  <si>
    <t>++ Vorläufig ++ Vorläufig ++ Vorläufig ++</t>
  </si>
  <si>
    <t>Wachstumsannahme</t>
  </si>
  <si>
    <t>Empfohlene Aktualisierung:</t>
  </si>
  <si>
    <t>1.0</t>
  </si>
  <si>
    <t>Version</t>
  </si>
  <si>
    <t xml:space="preserve">Stand d. Kapitalmarktparameter: </t>
  </si>
  <si>
    <t>Bearbeitungszeit &lt;15 Minuten</t>
  </si>
  <si>
    <t>Bearbeitungszeit &gt; 15 Minuten</t>
  </si>
  <si>
    <t>Wachstum</t>
  </si>
  <si>
    <t>++ Ergebnis ++ Ergebnis ++ Ergebnis ++</t>
  </si>
  <si>
    <r>
      <rPr>
        <b/>
        <sz val="9"/>
        <color theme="1"/>
        <rFont val="Calibri"/>
        <family val="2"/>
      </rPr>
      <t>Rechtlicher Hinweis</t>
    </r>
    <r>
      <rPr>
        <sz val="9"/>
        <color theme="1"/>
        <rFont val="Calibri"/>
        <family val="2"/>
      </rPr>
      <t xml:space="preserve">
Die vorliegende Unternehmensbewertung dient ausschließlich Informations- und Orientierungszwecken.
Das Modell stellt insbesondere keine Unternehmensbewertung im Sinne eines Gutachtens, keine steuerliche Beratung, keine rechtliche Beratung, keine Anlage- oder Investitionsempfehlung sowie keine Empfehlung zum Kauf oder Verkauf eines Unternehmens dar.
Die Berechnung basiert ausschließlich auf den vom Nutzer eingegebenen Informationen und Annahmen.
Es erfolgt keine Prüfung der Richtigkeit, Vollständigkeit, Aktualität oder Plausibilität der eingegebenen Daten. Insbesondere werden weder Jahresabschlüsse noch sonstige Unterlagen geprüft oder validiert.
Die Ergebnisse spiegeln ausschließlich die Eingaben und Annahmen des Nutzers wider und stellen ausdrücklich keine Einschätzung, Empfehlung oder Meinung des Erstellers dar.
Die Ergebnisse können erheblich von Werten abweichen, die sich aus einer individuellen Unternehmensbewertung, einem Gutachten, einer Transaktion oder einer steuerlichen Bewertung ergeben.
Für Entscheidungen jeglicher Art, die auf Basis der dargestellten Ergebnisse getroffen werden, wird keine Haftung übernommen. Die Nutzung erfolgt ausschließlich auf eigene Verantwortung des Nutzers.</t>
    </r>
  </si>
  <si>
    <r>
      <rPr>
        <b/>
        <sz val="10"/>
        <color theme="1"/>
        <rFont val="Calibri"/>
        <family val="2"/>
      </rPr>
      <t>Rechtlicher Hinweis</t>
    </r>
    <r>
      <rPr>
        <sz val="10"/>
        <color theme="1"/>
        <rFont val="Calibri"/>
        <family val="2"/>
      </rPr>
      <t xml:space="preserve">
Das erweiterte Bewertungsmodell dient ausschließlich der Unterstützung bei der Ermittlung eines indikativen Unternehmenswertes.
Die Nutzung des Modells ersetzt weder eine individuelle Unternehmensbewertung noch ein Gutachten eines Wirtschaftsprüfers, Steuerberaters, Sachverständigen oder sonstigen qualifizierten Beraters.
Das Modell basiert vollständig auf den vom Nutzer bereitgestellten Informationen, Annahmen und Planungsrechnungen.
Es erfolgt keine Prüfung der Richtigkeit, Vollständigkeit, Plausibilität, steuerlichen Zulässigkeit oder rechtlichen Zulässigkeit der eingegebenen Informationen. Insbesondere werden weder historische Finanzdaten noch Planungsannahmen validiert.
Das Bewertungsergebnis stellt daher ausdrücklich keine Zusicherung oder Aussage über den tatsächlichen Marktwert, Kaufpreis, Verkehrswert oder Steuerwert eines Unternehmens dar.
Die Ergebnisse können erheblich von späteren Transaktionspreisen, Gutachten oder steuerlichen Bewertungen abweichen.
Jegliche Verwendung erfolgt ausschließlich auf Risiko des Nutzers. Eine Haftung für unmittelbare oder mittelbare Schäden, Vermögensschäden, Finanzierungsschäden, Steuerfolgen oder sonstige Nachteile wird ausgeschlossen, soweit dies gesetzlich zulässig ist.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</si>
</sst>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_);* \(#,##0\);_-* &quot;-&quot;??;_-@_-"/>
    <numFmt numFmtId="165" formatCode="0.0%"/>
    <numFmt numFmtId="166" formatCode="#,##0.0"/>
    <numFmt numFmtId="167" formatCode="_(* #,##0.00\x_);_(* \(#,##0.00\x\);_-* &quot;-&quot;??;_-@_-"/>
    <numFmt numFmtId="168" formatCode="0.0\x"/>
    <numFmt numFmtId="169" formatCode="#,##0.0\x"/>
    <numFmt numFmtId="170" formatCode="0.0%\ &quot; Base Case&quot;"/>
    <numFmt numFmtId="171" formatCode="&quot;zum&quot;\ dd/\ mmm\ yy"/>
    <numFmt numFmtId="172" formatCode="General\ &quot; Jahre&quot;"/>
    <numFmt numFmtId="173" formatCode="###0&quot; ff.&quot;"/>
    <numFmt numFmtId="174" formatCode="#,##0.0000"/>
    <numFmt numFmtId="175" formatCode="0.0000%"/>
    <numFmt numFmtId="176" formatCode="0.0"/>
  </numFmts>
  <fonts count="86"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b/>
      <sz val="18"/>
      <color theme="0"/>
      <name val="Tw Cen MT"/>
      <family val="2"/>
    </font>
    <font>
      <sz val="20"/>
      <color theme="4" tint="-0.499984740745262"/>
      <name val="Aptos Narrow"/>
      <family val="2"/>
      <scheme val="minor"/>
    </font>
    <font>
      <sz val="11"/>
      <name val="Aptos Narrow"/>
      <family val="2"/>
      <scheme val="minor"/>
    </font>
    <font>
      <sz val="11"/>
      <color theme="4"/>
      <name val="Aptos Narrow"/>
      <family val="2"/>
      <scheme val="minor"/>
    </font>
    <font>
      <b/>
      <sz val="18"/>
      <color theme="0"/>
      <name val="Calibri"/>
      <family val="2"/>
    </font>
    <font>
      <sz val="11"/>
      <color theme="1"/>
      <name val="Calibri"/>
      <family val="2"/>
    </font>
    <font>
      <b/>
      <sz val="11"/>
      <color theme="0"/>
      <name val="Calibri"/>
      <family val="2"/>
    </font>
    <font>
      <sz val="11"/>
      <name val="Calibri"/>
      <family val="2"/>
    </font>
    <font>
      <sz val="20"/>
      <color theme="4" tint="-0.499984740745262"/>
      <name val="Calibri"/>
      <family val="2"/>
    </font>
    <font>
      <sz val="11"/>
      <color theme="4"/>
      <name val="Calibri"/>
      <family val="2"/>
    </font>
    <font>
      <sz val="11"/>
      <color theme="0" tint="-0.499984740745262"/>
      <name val="Aptos Narrow"/>
      <family val="2"/>
      <scheme val="minor"/>
    </font>
    <font>
      <b/>
      <sz val="17"/>
      <color theme="4" tint="-0.499984740745262"/>
      <name val="Calibri"/>
      <family val="2"/>
    </font>
    <font>
      <i/>
      <sz val="11"/>
      <color theme="0" tint="-0.499984740745262"/>
      <name val="Calibri"/>
      <family val="2"/>
    </font>
    <font>
      <i/>
      <sz val="11"/>
      <color theme="4"/>
      <name val="Calibri"/>
      <family val="2"/>
    </font>
    <font>
      <b/>
      <sz val="11"/>
      <color theme="1"/>
      <name val="Calibri"/>
      <family val="2"/>
    </font>
    <font>
      <i/>
      <sz val="11"/>
      <name val="Calibri"/>
      <family val="2"/>
    </font>
    <font>
      <i/>
      <sz val="11"/>
      <color theme="1"/>
      <name val="Calibri"/>
      <family val="2"/>
    </font>
    <font>
      <i/>
      <sz val="11"/>
      <color theme="1"/>
      <name val="Aptos Narrow"/>
      <family val="2"/>
      <scheme val="minor"/>
    </font>
    <font>
      <b/>
      <sz val="11"/>
      <name val="Calibri"/>
      <family val="2"/>
    </font>
    <font>
      <b/>
      <i/>
      <sz val="11"/>
      <color theme="1"/>
      <name val="Aptos Narrow"/>
      <family val="2"/>
      <scheme val="minor"/>
    </font>
    <font>
      <sz val="11"/>
      <color rgb="FF0070C0"/>
      <name val="Calibri"/>
      <family val="2"/>
    </font>
    <font>
      <i/>
      <sz val="11"/>
      <color rgb="FFC00000"/>
      <name val="Calibri"/>
      <family val="2"/>
    </font>
    <font>
      <b/>
      <sz val="17"/>
      <color theme="2" tint="-0.749992370372631"/>
      <name val="Calibri"/>
      <family val="2"/>
    </font>
    <font>
      <b/>
      <i/>
      <sz val="11"/>
      <color theme="0" tint="-0.499984740745262"/>
      <name val="Calibri"/>
      <family val="2"/>
    </font>
    <font>
      <b/>
      <i/>
      <sz val="11"/>
      <name val="Calibri"/>
      <family val="2"/>
    </font>
    <font>
      <u/>
      <sz val="11"/>
      <color theme="10"/>
      <name val="Aptos Narrow"/>
      <family val="2"/>
      <scheme val="minor"/>
    </font>
    <font>
      <u/>
      <sz val="11"/>
      <color theme="10"/>
      <name val="Calibri"/>
      <family val="2"/>
    </font>
    <font>
      <b/>
      <i/>
      <sz val="11"/>
      <color theme="1"/>
      <name val="Calibri"/>
      <family val="2"/>
    </font>
    <font>
      <b/>
      <sz val="11"/>
      <color rgb="FF002060"/>
      <name val="Calibri"/>
      <family val="2"/>
    </font>
    <font>
      <b/>
      <sz val="12"/>
      <color theme="0"/>
      <name val="Calibri"/>
      <family val="2"/>
    </font>
    <font>
      <b/>
      <i/>
      <sz val="18"/>
      <color theme="0" tint="-0.34998626667073579"/>
      <name val="Calibri"/>
      <family val="2"/>
    </font>
    <font>
      <i/>
      <sz val="11"/>
      <color theme="0" tint="-0.34998626667073579"/>
      <name val="Calibri"/>
      <family val="2"/>
    </font>
    <font>
      <i/>
      <sz val="20"/>
      <color theme="0" tint="-0.34998626667073579"/>
      <name val="Calibri"/>
      <family val="2"/>
    </font>
    <font>
      <b/>
      <i/>
      <sz val="11"/>
      <color theme="0" tint="-0.34998626667073579"/>
      <name val="Calibri"/>
      <family val="2"/>
    </font>
    <font>
      <sz val="11"/>
      <color rgb="FFC00000"/>
      <name val="Calibri"/>
      <family val="2"/>
    </font>
    <font>
      <b/>
      <sz val="20"/>
      <color theme="1"/>
      <name val="Calibri"/>
      <family val="2"/>
    </font>
    <font>
      <sz val="20"/>
      <color theme="1"/>
      <name val="Calibri"/>
      <family val="2"/>
    </font>
    <font>
      <sz val="16"/>
      <color theme="1"/>
      <name val="Calibri"/>
      <family val="2"/>
    </font>
    <font>
      <b/>
      <sz val="14"/>
      <color theme="4" tint="-0.499984740745262"/>
      <name val="Calibri"/>
      <family val="2"/>
    </font>
    <font>
      <b/>
      <sz val="11"/>
      <color theme="4" tint="-0.499984740745262"/>
      <name val="Calibri"/>
      <family val="2"/>
    </font>
    <font>
      <sz val="11"/>
      <color theme="4" tint="-0.499984740745262"/>
      <name val="Calibri"/>
      <family val="2"/>
    </font>
    <font>
      <sz val="17"/>
      <color theme="4" tint="-0.499984740745262"/>
      <name val="Calibri"/>
      <family val="2"/>
    </font>
    <font>
      <sz val="11"/>
      <color rgb="FF002060"/>
      <name val="Calibri"/>
      <family val="2"/>
    </font>
    <font>
      <sz val="11"/>
      <color theme="0" tint="-0.499984740745262"/>
      <name val="Calibri"/>
      <family val="2"/>
    </font>
    <font>
      <vertAlign val="superscript"/>
      <sz val="11"/>
      <color theme="1"/>
      <name val="Calibri"/>
      <family val="2"/>
    </font>
    <font>
      <b/>
      <sz val="18"/>
      <color theme="4" tint="-0.499984740745262"/>
      <name val="Calibri"/>
      <family val="2"/>
    </font>
    <font>
      <b/>
      <u/>
      <sz val="24"/>
      <color rgb="FF002060"/>
      <name val="Calibri"/>
      <family val="2"/>
    </font>
    <font>
      <sz val="11"/>
      <color rgb="FF00B050"/>
      <name val="Calibri"/>
      <family val="2"/>
    </font>
    <font>
      <b/>
      <sz val="24"/>
      <color rgb="FFC00000"/>
      <name val="Calibri"/>
      <family val="2"/>
    </font>
    <font>
      <sz val="11"/>
      <color theme="0"/>
      <name val="Calibri"/>
      <family val="2"/>
    </font>
    <font>
      <b/>
      <sz val="54"/>
      <color theme="4" tint="-0.499984740745262"/>
      <name val="Calibri"/>
      <family val="2"/>
    </font>
    <font>
      <sz val="18"/>
      <color theme="1"/>
      <name val="Calibri"/>
      <family val="2"/>
    </font>
    <font>
      <u/>
      <sz val="11"/>
      <color theme="1"/>
      <name val="Calibri"/>
      <family val="2"/>
    </font>
    <font>
      <b/>
      <u/>
      <sz val="11"/>
      <color theme="1"/>
      <name val="Calibri"/>
      <family val="2"/>
    </font>
    <font>
      <sz val="11"/>
      <color rgb="FFFF0000"/>
      <name val="Calibri"/>
      <family val="2"/>
    </font>
    <font>
      <i/>
      <sz val="11"/>
      <color theme="1" tint="0.499984740745262"/>
      <name val="Calibri"/>
      <family val="2"/>
    </font>
    <font>
      <sz val="11"/>
      <color theme="1" tint="0.499984740745262"/>
      <name val="Calibri"/>
      <family val="2"/>
    </font>
    <font>
      <vertAlign val="superscript"/>
      <sz val="11"/>
      <color theme="1" tint="0.499984740745262"/>
      <name val="Calibri"/>
      <family val="2"/>
    </font>
    <font>
      <b/>
      <sz val="16"/>
      <color theme="1" tint="0.499984740745262"/>
      <name val="Calibri"/>
      <family val="2"/>
    </font>
    <font>
      <b/>
      <vertAlign val="superscript"/>
      <sz val="16"/>
      <color theme="1" tint="0.499984740745262"/>
      <name val="Calibri"/>
      <family val="2"/>
    </font>
    <font>
      <sz val="48"/>
      <color theme="1"/>
      <name val="Calibri"/>
      <family val="2"/>
    </font>
    <font>
      <i/>
      <u/>
      <sz val="11"/>
      <color theme="4"/>
      <name val="Calibri"/>
      <family val="2"/>
    </font>
    <font>
      <sz val="12"/>
      <name val="Calibri"/>
      <family val="2"/>
    </font>
    <font>
      <sz val="12"/>
      <color rgb="FF00B050"/>
      <name val="Calibri"/>
      <family val="2"/>
    </font>
    <font>
      <b/>
      <sz val="18"/>
      <name val="Calibri"/>
      <family val="2"/>
    </font>
    <font>
      <u/>
      <sz val="12"/>
      <name val="Calibri"/>
      <family val="2"/>
    </font>
    <font>
      <b/>
      <sz val="18"/>
      <color rgb="FF002060"/>
      <name val="Calibri"/>
      <family val="2"/>
    </font>
    <font>
      <b/>
      <sz val="11"/>
      <color rgb="FFFF0000"/>
      <name val="Calibri"/>
      <family val="2"/>
    </font>
    <font>
      <b/>
      <sz val="18"/>
      <color theme="1"/>
      <name val="Calibri"/>
      <family val="2"/>
    </font>
    <font>
      <b/>
      <sz val="11"/>
      <color rgb="FF00B050"/>
      <name val="Calibri"/>
      <family val="2"/>
    </font>
    <font>
      <sz val="11"/>
      <color rgb="FF0047AB"/>
      <name val="Calibri"/>
      <family val="2"/>
    </font>
    <font>
      <sz val="11"/>
      <color rgb="FF0047AB"/>
      <name val="Segoe UI"/>
      <family val="2"/>
    </font>
    <font>
      <u/>
      <sz val="18"/>
      <color theme="10"/>
      <name val="Aptos Narrow"/>
      <family val="2"/>
      <scheme val="minor"/>
    </font>
    <font>
      <b/>
      <sz val="12"/>
      <color rgb="FF0047AB"/>
      <name val="Calibri"/>
      <family val="2"/>
    </font>
    <font>
      <b/>
      <sz val="12"/>
      <color theme="1"/>
      <name val="Calibri"/>
      <family val="2"/>
    </font>
    <font>
      <sz val="18"/>
      <color theme="1" tint="0.499984740745262"/>
      <name val="Calibri"/>
      <family val="2"/>
    </font>
    <font>
      <b/>
      <sz val="54"/>
      <color theme="1" tint="0.499984740745262"/>
      <name val="Calibri"/>
      <family val="2"/>
    </font>
    <font>
      <b/>
      <sz val="18"/>
      <color theme="1" tint="0.499984740745262"/>
      <name val="Calibri"/>
      <family val="2"/>
    </font>
    <font>
      <sz val="10"/>
      <color theme="1"/>
      <name val="Calibri"/>
      <family val="2"/>
    </font>
    <font>
      <sz val="9"/>
      <color theme="1"/>
      <name val="Calibri"/>
      <family val="2"/>
    </font>
    <font>
      <b/>
      <sz val="9"/>
      <color theme="1"/>
      <name val="Calibri"/>
      <family val="2"/>
    </font>
    <font>
      <b/>
      <sz val="10"/>
      <color theme="1"/>
      <name val="Calibri"/>
      <family val="2"/>
    </font>
  </fonts>
  <fills count="30">
    <fill>
      <patternFill patternType="none"/>
    </fill>
    <fill>
      <patternFill patternType="gray125"/>
    </fill>
    <fill>
      <patternFill patternType="solid">
        <fgColor theme="4" tint="-0.499984740745262"/>
        <bgColor indexed="64"/>
      </patternFill>
    </fill>
    <fill>
      <patternFill patternType="solid">
        <fgColor rgb="FFD7DBDD"/>
        <bgColor indexed="64"/>
      </patternFill>
    </fill>
    <fill>
      <patternFill patternType="solid">
        <fgColor rgb="FF203764"/>
        <bgColor indexed="64"/>
      </patternFill>
    </fill>
    <fill>
      <patternFill patternType="solid">
        <fgColor theme="4" tint="0.79998168889431442"/>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2"/>
        <bgColor indexed="64"/>
      </patternFill>
    </fill>
    <fill>
      <patternFill patternType="gray125">
        <fgColor theme="0" tint="-4.9989318521683403E-2"/>
        <bgColor theme="2"/>
      </patternFill>
    </fill>
    <fill>
      <patternFill patternType="solid">
        <fgColor rgb="FFFFE79B"/>
        <bgColor indexed="64"/>
      </patternFill>
    </fill>
    <fill>
      <patternFill patternType="solid">
        <fgColor rgb="FFFFC000"/>
        <bgColor indexed="64"/>
      </patternFill>
    </fill>
    <fill>
      <patternFill patternType="solid">
        <fgColor theme="2" tint="-0.249977111117893"/>
        <bgColor indexed="64"/>
      </patternFill>
    </fill>
    <fill>
      <patternFill patternType="solid">
        <fgColor rgb="FF002060"/>
        <bgColor indexed="64"/>
      </patternFill>
    </fill>
    <fill>
      <patternFill patternType="solid">
        <fgColor theme="2" tint="-9.9978637043366805E-2"/>
        <bgColor indexed="64"/>
      </patternFill>
    </fill>
    <fill>
      <patternFill patternType="solid">
        <fgColor rgb="FFF2F2F2"/>
        <bgColor indexed="64"/>
      </patternFill>
    </fill>
    <fill>
      <patternFill patternType="darkGray"/>
    </fill>
    <fill>
      <patternFill patternType="solid">
        <fgColor theme="1"/>
        <bgColor indexed="64"/>
      </patternFill>
    </fill>
    <fill>
      <patternFill patternType="solid">
        <fgColor rgb="FFFFFF00"/>
        <bgColor indexed="64"/>
      </patternFill>
    </fill>
    <fill>
      <patternFill patternType="gray125">
        <fgColor theme="0" tint="-4.9989318521683403E-2"/>
        <bgColor rgb="FFFFFF00"/>
      </patternFill>
    </fill>
    <fill>
      <patternFill patternType="solid">
        <fgColor rgb="FF0047AB"/>
        <bgColor indexed="64"/>
      </patternFill>
    </fill>
    <fill>
      <patternFill patternType="solid">
        <fgColor theme="5"/>
        <bgColor indexed="64"/>
      </patternFill>
    </fill>
    <fill>
      <patternFill patternType="lightUp">
        <fgColor theme="1" tint="0.499984740745262"/>
        <bgColor theme="3" tint="0.89999084444715716"/>
      </patternFill>
    </fill>
    <fill>
      <patternFill patternType="lightUp">
        <fgColor theme="1" tint="0.499984740745262"/>
        <bgColor theme="0" tint="-4.9989318521683403E-2"/>
      </patternFill>
    </fill>
    <fill>
      <patternFill patternType="lightUp">
        <fgColor theme="1" tint="0.499984740745262"/>
        <bgColor theme="0"/>
      </patternFill>
    </fill>
    <fill>
      <patternFill patternType="lightUp">
        <fgColor theme="1" tint="0.499984740745262"/>
        <bgColor indexed="65"/>
      </patternFill>
    </fill>
  </fills>
  <borders count="134">
    <border>
      <left/>
      <right/>
      <top/>
      <bottom/>
      <diagonal/>
    </border>
    <border>
      <left/>
      <right/>
      <top/>
      <bottom style="medium">
        <color theme="4" tint="-0.499984740745262"/>
      </bottom>
      <diagonal/>
    </border>
    <border>
      <left style="thin">
        <color auto="1"/>
      </left>
      <right style="thin">
        <color auto="1"/>
      </right>
      <top style="thin">
        <color auto="1"/>
      </top>
      <bottom style="thin">
        <color auto="1"/>
      </bottom>
      <diagonal/>
    </border>
    <border>
      <left style="hair">
        <color theme="1"/>
      </left>
      <right style="hair">
        <color theme="1"/>
      </right>
      <top style="hair">
        <color theme="1"/>
      </top>
      <bottom style="hair">
        <color theme="1"/>
      </bottom>
      <diagonal/>
    </border>
    <border>
      <left style="thin">
        <color theme="4"/>
      </left>
      <right style="thin">
        <color theme="4"/>
      </right>
      <top style="thin">
        <color theme="4"/>
      </top>
      <bottom style="thin">
        <color theme="4"/>
      </bottom>
      <diagonal/>
    </border>
    <border>
      <left style="thin">
        <color theme="3"/>
      </left>
      <right style="thin">
        <color theme="3"/>
      </right>
      <top style="thin">
        <color theme="3"/>
      </top>
      <bottom style="thin">
        <color theme="3"/>
      </bottom>
      <diagonal/>
    </border>
    <border>
      <left style="thin">
        <color theme="3"/>
      </left>
      <right style="thin">
        <color theme="3"/>
      </right>
      <top/>
      <bottom style="thin">
        <color theme="3"/>
      </bottom>
      <diagonal/>
    </border>
    <border>
      <left style="medium">
        <color theme="0"/>
      </left>
      <right style="medium">
        <color theme="0"/>
      </right>
      <top/>
      <bottom style="thin">
        <color theme="3"/>
      </bottom>
      <diagonal/>
    </border>
    <border>
      <left style="medium">
        <color theme="0"/>
      </left>
      <right/>
      <top/>
      <bottom style="thin">
        <color theme="3"/>
      </bottom>
      <diagonal/>
    </border>
    <border>
      <left style="thin">
        <color theme="3"/>
      </left>
      <right/>
      <top/>
      <bottom style="thin">
        <color theme="3"/>
      </bottom>
      <diagonal/>
    </border>
    <border>
      <left/>
      <right style="medium">
        <color theme="0"/>
      </right>
      <top/>
      <bottom style="thin">
        <color theme="3"/>
      </bottom>
      <diagonal/>
    </border>
    <border>
      <left style="thin">
        <color theme="3"/>
      </left>
      <right style="thin">
        <color theme="3"/>
      </right>
      <top style="thin">
        <color theme="3"/>
      </top>
      <bottom/>
      <diagonal/>
    </border>
    <border>
      <left/>
      <right/>
      <top style="thin">
        <color theme="3"/>
      </top>
      <bottom/>
      <diagonal/>
    </border>
    <border>
      <left style="thin">
        <color theme="3"/>
      </left>
      <right style="thin">
        <color theme="3"/>
      </right>
      <top/>
      <bottom/>
      <diagonal/>
    </border>
    <border>
      <left style="thin">
        <color indexed="64"/>
      </left>
      <right/>
      <top style="thin">
        <color indexed="64"/>
      </top>
      <bottom style="thin">
        <color indexed="64"/>
      </bottom>
      <diagonal/>
    </border>
    <border>
      <left/>
      <right/>
      <top/>
      <bottom style="thin">
        <color theme="3"/>
      </bottom>
      <diagonal/>
    </border>
    <border>
      <left style="thin">
        <color theme="3"/>
      </left>
      <right/>
      <top/>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
      <left/>
      <right style="thin">
        <color theme="0"/>
      </right>
      <top/>
      <bottom/>
      <diagonal/>
    </border>
    <border>
      <left style="thin">
        <color theme="0"/>
      </left>
      <right/>
      <top/>
      <bottom/>
      <diagonal/>
    </border>
    <border>
      <left style="thin">
        <color indexed="64"/>
      </left>
      <right/>
      <top style="thin">
        <color indexed="64"/>
      </top>
      <bottom/>
      <diagonal/>
    </border>
    <border>
      <left style="thin">
        <color theme="3"/>
      </left>
      <right style="thin">
        <color theme="3"/>
      </right>
      <top style="thin">
        <color indexed="64"/>
      </top>
      <bottom style="thin">
        <color theme="3"/>
      </bottom>
      <diagonal/>
    </border>
    <border>
      <left/>
      <right/>
      <top style="thin">
        <color theme="0"/>
      </top>
      <bottom style="thin">
        <color theme="0"/>
      </bottom>
      <diagonal/>
    </border>
    <border>
      <left/>
      <right/>
      <top style="thin">
        <color auto="1"/>
      </top>
      <bottom style="thin">
        <color theme="0"/>
      </bottom>
      <diagonal/>
    </border>
    <border>
      <left style="thin">
        <color theme="3"/>
      </left>
      <right style="thin">
        <color theme="3"/>
      </right>
      <top style="thin">
        <color indexed="64"/>
      </top>
      <bottom/>
      <diagonal/>
    </border>
    <border>
      <left style="thin">
        <color theme="3"/>
      </left>
      <right style="thin">
        <color theme="3"/>
      </right>
      <top/>
      <bottom style="thin">
        <color indexed="64"/>
      </bottom>
      <diagonal/>
    </border>
    <border>
      <left/>
      <right style="thin">
        <color auto="1"/>
      </right>
      <top/>
      <bottom style="thin">
        <color auto="1"/>
      </bottom>
      <diagonal/>
    </border>
    <border>
      <left/>
      <right style="thin">
        <color auto="1"/>
      </right>
      <top/>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diagonal/>
    </border>
    <border>
      <left/>
      <right/>
      <top style="thin">
        <color indexed="64"/>
      </top>
      <bottom style="double">
        <color indexed="64"/>
      </bottom>
      <diagonal/>
    </border>
    <border>
      <left style="thin">
        <color indexed="64"/>
      </left>
      <right style="thin">
        <color theme="3"/>
      </right>
      <top style="thin">
        <color indexed="64"/>
      </top>
      <bottom style="thin">
        <color indexed="64"/>
      </bottom>
      <diagonal/>
    </border>
    <border>
      <left/>
      <right/>
      <top style="thin">
        <color auto="1"/>
      </top>
      <bottom style="thin">
        <color auto="1"/>
      </bottom>
      <diagonal/>
    </border>
    <border>
      <left style="thin">
        <color indexed="64"/>
      </left>
      <right/>
      <top/>
      <bottom style="thin">
        <color indexed="64"/>
      </bottom>
      <diagonal/>
    </border>
    <border>
      <left/>
      <right/>
      <top style="double">
        <color theme="3"/>
      </top>
      <bottom/>
      <diagonal/>
    </border>
    <border>
      <left/>
      <right style="medium">
        <color theme="0"/>
      </right>
      <top/>
      <bottom/>
      <diagonal/>
    </border>
    <border>
      <left style="medium">
        <color theme="0"/>
      </left>
      <right style="medium">
        <color theme="0"/>
      </right>
      <top/>
      <bottom/>
      <diagonal/>
    </border>
    <border>
      <left style="medium">
        <color theme="0"/>
      </left>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theme="3"/>
      </left>
      <right style="thin">
        <color theme="3"/>
      </right>
      <top style="thin">
        <color theme="3"/>
      </top>
      <bottom style="thin">
        <color indexed="64"/>
      </bottom>
      <diagonal/>
    </border>
    <border>
      <left style="hair">
        <color theme="2" tint="-0.499984740745262"/>
      </left>
      <right style="hair">
        <color theme="2" tint="-0.499984740745262"/>
      </right>
      <top style="hair">
        <color theme="2" tint="-0.499984740745262"/>
      </top>
      <bottom style="hair">
        <color theme="2" tint="-0.499984740745262"/>
      </bottom>
      <diagonal/>
    </border>
    <border>
      <left style="hair">
        <color theme="2" tint="-0.499984740745262"/>
      </left>
      <right style="hair">
        <color theme="2" tint="-0.499984740745262"/>
      </right>
      <top/>
      <bottom style="hair">
        <color theme="2" tint="-0.499984740745262"/>
      </bottom>
      <diagonal/>
    </border>
    <border>
      <left style="hair">
        <color auto="1"/>
      </left>
      <right style="hair">
        <color auto="1"/>
      </right>
      <top style="hair">
        <color auto="1"/>
      </top>
      <bottom style="hair">
        <color auto="1"/>
      </bottom>
      <diagonal/>
    </border>
    <border>
      <left/>
      <right/>
      <top style="hair">
        <color auto="1"/>
      </top>
      <bottom style="hair">
        <color auto="1"/>
      </bottom>
      <diagonal/>
    </border>
    <border>
      <left style="hair">
        <color auto="1"/>
      </left>
      <right style="hair">
        <color auto="1"/>
      </right>
      <top/>
      <bottom/>
      <diagonal/>
    </border>
    <border>
      <left style="hair">
        <color auto="1"/>
      </left>
      <right style="hair">
        <color auto="1"/>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hair">
        <color auto="1"/>
      </top>
      <bottom style="hair">
        <color auto="1"/>
      </bottom>
      <diagonal/>
    </border>
    <border>
      <left/>
      <right style="thin">
        <color indexed="64"/>
      </right>
      <top style="hair">
        <color auto="1"/>
      </top>
      <bottom style="hair">
        <color auto="1"/>
      </bottom>
      <diagonal/>
    </border>
    <border>
      <left style="hair">
        <color auto="1"/>
      </left>
      <right style="hair">
        <color auto="1"/>
      </right>
      <top/>
      <bottom style="thin">
        <color indexed="64"/>
      </bottom>
      <diagonal/>
    </border>
    <border>
      <left style="thin">
        <color indexed="64"/>
      </left>
      <right style="thin">
        <color theme="3"/>
      </right>
      <top style="thin">
        <color indexed="64"/>
      </top>
      <bottom style="thin">
        <color theme="3"/>
      </bottom>
      <diagonal/>
    </border>
    <border>
      <left style="thin">
        <color theme="3"/>
      </left>
      <right/>
      <top style="thin">
        <color indexed="64"/>
      </top>
      <bottom style="thin">
        <color indexed="64"/>
      </bottom>
      <diagonal/>
    </border>
    <border>
      <left style="hair">
        <color auto="1"/>
      </left>
      <right style="hair">
        <color auto="1"/>
      </right>
      <top style="thin">
        <color indexed="64"/>
      </top>
      <bottom style="thin">
        <color auto="1"/>
      </bottom>
      <diagonal/>
    </border>
    <border>
      <left style="thin">
        <color indexed="64"/>
      </left>
      <right style="thin">
        <color indexed="64"/>
      </right>
      <top style="thin">
        <color theme="3"/>
      </top>
      <bottom/>
      <diagonal/>
    </border>
    <border>
      <left style="thin">
        <color indexed="64"/>
      </left>
      <right style="thin">
        <color auto="1"/>
      </right>
      <top style="hair">
        <color auto="1"/>
      </top>
      <bottom style="hair">
        <color auto="1"/>
      </bottom>
      <diagonal/>
    </border>
    <border>
      <left style="thin">
        <color rgb="FF0070C0"/>
      </left>
      <right/>
      <top style="thin">
        <color rgb="FF0070C0"/>
      </top>
      <bottom style="thin">
        <color rgb="FF0070C0"/>
      </bottom>
      <diagonal/>
    </border>
    <border>
      <left/>
      <right/>
      <top style="thin">
        <color rgb="FF0070C0"/>
      </top>
      <bottom style="thin">
        <color rgb="FF0070C0"/>
      </bottom>
      <diagonal/>
    </border>
    <border>
      <left/>
      <right style="thin">
        <color rgb="FF0070C0"/>
      </right>
      <top style="thin">
        <color rgb="FF0070C0"/>
      </top>
      <bottom style="thin">
        <color rgb="FF0070C0"/>
      </bottom>
      <diagonal/>
    </border>
    <border>
      <left style="thin">
        <color indexed="64"/>
      </left>
      <right/>
      <top style="thin">
        <color indexed="64"/>
      </top>
      <bottom style="thin">
        <color theme="3"/>
      </bottom>
      <diagonal/>
    </border>
    <border>
      <left style="thin">
        <color indexed="64"/>
      </left>
      <right/>
      <top style="thin">
        <color indexed="64"/>
      </top>
      <bottom style="hair">
        <color indexed="64"/>
      </bottom>
      <diagonal/>
    </border>
    <border>
      <left/>
      <right/>
      <top style="thin">
        <color auto="1"/>
      </top>
      <bottom style="hair">
        <color indexed="64"/>
      </bottom>
      <diagonal/>
    </border>
    <border>
      <left style="thin">
        <color auto="1"/>
      </left>
      <right style="thin">
        <color rgb="FF0070C0"/>
      </right>
      <top style="thin">
        <color rgb="FF0070C0"/>
      </top>
      <bottom style="hair">
        <color auto="1"/>
      </bottom>
      <diagonal/>
    </border>
    <border>
      <left style="hair">
        <color auto="1"/>
      </left>
      <right style="hair">
        <color auto="1"/>
      </right>
      <top style="thin">
        <color auto="1"/>
      </top>
      <bottom style="hair">
        <color auto="1"/>
      </bottom>
      <diagonal/>
    </border>
    <border>
      <left/>
      <right style="thin">
        <color indexed="64"/>
      </right>
      <top style="thin">
        <color auto="1"/>
      </top>
      <bottom style="hair">
        <color auto="1"/>
      </bottom>
      <diagonal/>
    </border>
    <border>
      <left/>
      <right/>
      <top/>
      <bottom style="thin">
        <color theme="1"/>
      </bottom>
      <diagonal/>
    </border>
    <border>
      <left/>
      <right/>
      <top style="thin">
        <color theme="1"/>
      </top>
      <bottom/>
      <diagonal/>
    </border>
    <border>
      <left/>
      <right style="thin">
        <color theme="0"/>
      </right>
      <top style="thin">
        <color indexed="64"/>
      </top>
      <bottom/>
      <diagonal/>
    </border>
    <border>
      <left/>
      <right/>
      <top/>
      <bottom style="thin">
        <color theme="0"/>
      </bottom>
      <diagonal/>
    </border>
    <border>
      <left/>
      <right/>
      <top style="thin">
        <color indexed="64"/>
      </top>
      <bottom style="thin">
        <color theme="3"/>
      </bottom>
      <diagonal/>
    </border>
    <border>
      <left/>
      <right style="thin">
        <color auto="1"/>
      </right>
      <top style="thin">
        <color indexed="64"/>
      </top>
      <bottom style="thin">
        <color theme="3"/>
      </bottom>
      <diagonal/>
    </border>
    <border>
      <left/>
      <right style="hair">
        <color theme="2" tint="-0.499984740745262"/>
      </right>
      <top style="hair">
        <color theme="2" tint="-0.499984740745262"/>
      </top>
      <bottom style="hair">
        <color theme="2" tint="-0.499984740745262"/>
      </bottom>
      <diagonal/>
    </border>
    <border>
      <left/>
      <right/>
      <top/>
      <bottom style="hair">
        <color theme="1"/>
      </bottom>
      <diagonal/>
    </border>
    <border>
      <left/>
      <right style="hair">
        <color theme="1"/>
      </right>
      <top/>
      <bottom style="hair">
        <color theme="1"/>
      </bottom>
      <diagonal/>
    </border>
    <border>
      <left/>
      <right style="hair">
        <color theme="1"/>
      </right>
      <top style="hair">
        <color theme="1"/>
      </top>
      <bottom style="hair">
        <color theme="1"/>
      </bottom>
      <diagonal/>
    </border>
    <border>
      <left/>
      <right/>
      <top style="hair">
        <color theme="1"/>
      </top>
      <bottom style="hair">
        <color theme="1"/>
      </bottom>
      <diagonal/>
    </border>
    <border>
      <left/>
      <right style="hair">
        <color theme="2" tint="-0.499984740745262"/>
      </right>
      <top/>
      <bottom style="hair">
        <color theme="2" tint="-0.499984740745262"/>
      </bottom>
      <diagonal/>
    </border>
    <border>
      <left/>
      <right style="thin">
        <color theme="0"/>
      </right>
      <top/>
      <bottom style="thin">
        <color auto="1"/>
      </bottom>
      <diagonal/>
    </border>
    <border>
      <left style="thin">
        <color theme="0"/>
      </left>
      <right/>
      <top/>
      <bottom style="thin">
        <color auto="1"/>
      </bottom>
      <diagonal/>
    </border>
    <border>
      <left style="thin">
        <color theme="0"/>
      </left>
      <right style="thin">
        <color theme="0"/>
      </right>
      <top/>
      <bottom style="thin">
        <color auto="1"/>
      </bottom>
      <diagonal/>
    </border>
    <border>
      <left/>
      <right style="hair">
        <color theme="2" tint="-0.499984740745262"/>
      </right>
      <top style="hair">
        <color theme="2" tint="-0.499984740745262"/>
      </top>
      <bottom/>
      <diagonal/>
    </border>
    <border>
      <left style="hair">
        <color theme="2" tint="-0.499984740745262"/>
      </left>
      <right style="hair">
        <color theme="2" tint="-0.499984740745262"/>
      </right>
      <top style="hair">
        <color theme="2" tint="-0.499984740745262"/>
      </top>
      <bottom/>
      <diagonal/>
    </border>
    <border>
      <left style="hair">
        <color theme="1"/>
      </left>
      <right/>
      <top style="hair">
        <color theme="1"/>
      </top>
      <bottom style="hair">
        <color theme="1"/>
      </bottom>
      <diagonal/>
    </border>
    <border>
      <left/>
      <right style="thin">
        <color theme="3"/>
      </right>
      <top style="thin">
        <color indexed="64"/>
      </top>
      <bottom style="double">
        <color indexed="64"/>
      </bottom>
      <diagonal/>
    </border>
    <border>
      <left/>
      <right style="thin">
        <color theme="3"/>
      </right>
      <top style="thin">
        <color indexed="64"/>
      </top>
      <bottom/>
      <diagonal/>
    </border>
    <border>
      <left style="thin">
        <color rgb="FF0047AB"/>
      </left>
      <right/>
      <top style="thin">
        <color rgb="FF0047AB"/>
      </top>
      <bottom/>
      <diagonal/>
    </border>
    <border>
      <left/>
      <right/>
      <top style="thin">
        <color rgb="FF0047AB"/>
      </top>
      <bottom/>
      <diagonal/>
    </border>
    <border>
      <left/>
      <right style="thin">
        <color rgb="FF0047AB"/>
      </right>
      <top style="thin">
        <color rgb="FF0047AB"/>
      </top>
      <bottom/>
      <diagonal/>
    </border>
    <border>
      <left style="thin">
        <color rgb="FF0047AB"/>
      </left>
      <right/>
      <top/>
      <bottom/>
      <diagonal/>
    </border>
    <border>
      <left/>
      <right style="thin">
        <color rgb="FF0047AB"/>
      </right>
      <top/>
      <bottom/>
      <diagonal/>
    </border>
    <border>
      <left/>
      <right style="thin">
        <color rgb="FF0070C0"/>
      </right>
      <top style="medium">
        <color rgb="FF0047AB"/>
      </top>
      <bottom/>
      <diagonal/>
    </border>
    <border>
      <left/>
      <right/>
      <top style="medium">
        <color rgb="FF0047AB"/>
      </top>
      <bottom/>
      <diagonal/>
    </border>
    <border>
      <left style="thin">
        <color rgb="FF0070C0"/>
      </left>
      <right/>
      <top style="medium">
        <color rgb="FF0070C0"/>
      </top>
      <bottom style="thin">
        <color rgb="FF0070C0"/>
      </bottom>
      <diagonal/>
    </border>
    <border>
      <left/>
      <right/>
      <top style="medium">
        <color rgb="FF0070C0"/>
      </top>
      <bottom style="thin">
        <color rgb="FF0070C0"/>
      </bottom>
      <diagonal/>
    </border>
    <border>
      <left/>
      <right style="thin">
        <color rgb="FF0070C0"/>
      </right>
      <top style="medium">
        <color rgb="FF0070C0"/>
      </top>
      <bottom style="thin">
        <color rgb="FF0070C0"/>
      </bottom>
      <diagonal/>
    </border>
    <border>
      <left style="hair">
        <color theme="1" tint="0.499984740745262"/>
      </left>
      <right/>
      <top/>
      <bottom/>
      <diagonal/>
    </border>
    <border>
      <left style="hair">
        <color auto="1"/>
      </left>
      <right/>
      <top/>
      <bottom/>
      <diagonal/>
    </border>
    <border>
      <left style="thin">
        <color rgb="FF0047AB"/>
      </left>
      <right/>
      <top/>
      <bottom style="thin">
        <color rgb="FF0047AB"/>
      </bottom>
      <diagonal/>
    </border>
    <border>
      <left/>
      <right/>
      <top/>
      <bottom style="thin">
        <color rgb="FF0047AB"/>
      </bottom>
      <diagonal/>
    </border>
    <border>
      <left/>
      <right style="thin">
        <color rgb="FF0047AB"/>
      </right>
      <top/>
      <bottom style="thin">
        <color rgb="FF0047AB"/>
      </bottom>
      <diagonal/>
    </border>
    <border>
      <left/>
      <right/>
      <top/>
      <bottom style="hair">
        <color theme="2" tint="-9.9948118533890809E-2"/>
      </bottom>
      <diagonal/>
    </border>
    <border>
      <left/>
      <right/>
      <top style="hair">
        <color theme="2" tint="-9.9948118533890809E-2"/>
      </top>
      <bottom style="hair">
        <color theme="2" tint="-9.9948118533890809E-2"/>
      </bottom>
      <diagonal/>
    </border>
    <border>
      <left/>
      <right/>
      <top style="hair">
        <color theme="2" tint="-9.9948118533890809E-2"/>
      </top>
      <bottom/>
      <diagonal/>
    </border>
    <border>
      <left/>
      <right style="thin">
        <color indexed="64"/>
      </right>
      <top/>
      <bottom style="hair">
        <color theme="2" tint="-9.9948118533890809E-2"/>
      </bottom>
      <diagonal/>
    </border>
    <border>
      <left/>
      <right style="thin">
        <color indexed="64"/>
      </right>
      <top style="hair">
        <color theme="2" tint="-9.9948118533890809E-2"/>
      </top>
      <bottom style="hair">
        <color theme="2" tint="-9.9948118533890809E-2"/>
      </bottom>
      <diagonal/>
    </border>
    <border>
      <left style="thin">
        <color indexed="64"/>
      </left>
      <right/>
      <top/>
      <bottom style="hair">
        <color indexed="64"/>
      </bottom>
      <diagonal/>
    </border>
    <border>
      <left/>
      <right/>
      <top/>
      <bottom style="hair">
        <color indexed="64"/>
      </bottom>
      <diagonal/>
    </border>
    <border>
      <left/>
      <right/>
      <top style="hair">
        <color theme="2" tint="-9.9948118533890809E-2"/>
      </top>
      <bottom style="thin">
        <color indexed="64"/>
      </bottom>
      <diagonal/>
    </border>
    <border>
      <left/>
      <right style="thin">
        <color indexed="64"/>
      </right>
      <top style="hair">
        <color theme="2" tint="-9.9948118533890809E-2"/>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theme="3"/>
      </left>
      <right/>
      <top/>
      <bottom style="thin">
        <color indexed="64"/>
      </bottom>
      <diagonal/>
    </border>
    <border>
      <left/>
      <right style="medium">
        <color theme="0"/>
      </right>
      <top/>
      <bottom style="thin">
        <color indexed="64"/>
      </bottom>
      <diagonal/>
    </border>
    <border>
      <left style="medium">
        <color theme="0"/>
      </left>
      <right style="medium">
        <color theme="0"/>
      </right>
      <top/>
      <bottom style="thin">
        <color indexed="64"/>
      </bottom>
      <diagonal/>
    </border>
    <border>
      <left style="medium">
        <color theme="0"/>
      </left>
      <right/>
      <top/>
      <bottom style="thin">
        <color indexed="64"/>
      </bottom>
      <diagonal/>
    </border>
    <border>
      <left/>
      <right style="thin">
        <color indexed="64"/>
      </right>
      <top style="thin">
        <color indexed="64"/>
      </top>
      <bottom style="hair">
        <color theme="2" tint="-9.9948118533890809E-2"/>
      </bottom>
      <diagonal/>
    </border>
    <border>
      <left/>
      <right/>
      <top style="thin">
        <color indexed="64"/>
      </top>
      <bottom style="hair">
        <color theme="2" tint="-9.9948118533890809E-2"/>
      </bottom>
      <diagonal/>
    </border>
    <border>
      <left/>
      <right/>
      <top style="hair">
        <color theme="2" tint="-9.9917600024414813E-2"/>
      </top>
      <bottom style="hair">
        <color theme="2" tint="-9.9948118533890809E-2"/>
      </bottom>
      <diagonal/>
    </border>
    <border>
      <left/>
      <right style="thin">
        <color indexed="64"/>
      </right>
      <top style="hair">
        <color theme="2" tint="-9.9948118533890809E-2"/>
      </top>
      <bottom/>
      <diagonal/>
    </border>
    <border>
      <left style="medium">
        <color theme="0"/>
      </left>
      <right style="thin">
        <color theme="0"/>
      </right>
      <top/>
      <bottom style="thin">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hair">
        <color theme="2" tint="-9.9917600024414813E-2"/>
      </top>
      <bottom style="hair">
        <color theme="2" tint="-9.9948118533890809E-2"/>
      </bottom>
      <diagonal/>
    </border>
    <border>
      <left/>
      <right/>
      <top style="hair">
        <color theme="3"/>
      </top>
      <bottom style="hair">
        <color theme="3"/>
      </bottom>
      <diagonal/>
    </border>
    <border>
      <left/>
      <right style="thin">
        <color indexed="64"/>
      </right>
      <top style="hair">
        <color theme="3"/>
      </top>
      <bottom style="hair">
        <color theme="3"/>
      </bottom>
      <diagonal/>
    </border>
    <border>
      <left style="thin">
        <color theme="0"/>
      </left>
      <right style="thin">
        <color auto="1"/>
      </right>
      <top/>
      <bottom style="thin">
        <color auto="1"/>
      </bottom>
      <diagonal/>
    </border>
    <border>
      <left style="thin">
        <color theme="0"/>
      </left>
      <right style="thin">
        <color auto="1"/>
      </right>
      <top/>
      <bottom/>
      <diagonal/>
    </border>
    <border>
      <left/>
      <right/>
      <top style="hair">
        <color theme="3"/>
      </top>
      <bottom/>
      <diagonal/>
    </border>
    <border>
      <left/>
      <right style="thin">
        <color indexed="64"/>
      </right>
      <top style="hair">
        <color theme="3"/>
      </top>
      <bottom/>
      <diagonal/>
    </border>
    <border>
      <left/>
      <right/>
      <top style="thin">
        <color indexed="64"/>
      </top>
      <bottom style="hair">
        <color theme="3"/>
      </bottom>
      <diagonal/>
    </border>
    <border>
      <left/>
      <right style="thin">
        <color indexed="64"/>
      </right>
      <top style="thin">
        <color indexed="64"/>
      </top>
      <bottom style="hair">
        <color theme="3"/>
      </bottom>
      <diagonal/>
    </border>
  </borders>
  <cellStyleXfs count="12">
    <xf numFmtId="0" fontId="0" fillId="0" borderId="0"/>
    <xf numFmtId="0" fontId="4" fillId="2" borderId="0" applyNumberFormat="0" applyAlignment="0" applyProtection="0"/>
    <xf numFmtId="0" fontId="5" fillId="3" borderId="1" applyNumberFormat="0" applyAlignment="0" applyProtection="0"/>
    <xf numFmtId="0" fontId="2" fillId="4" borderId="2" applyNumberFormat="0" applyProtection="0">
      <alignment horizontal="centerContinuous"/>
    </xf>
    <xf numFmtId="0" fontId="6" fillId="0" borderId="3" applyNumberFormat="0" applyAlignment="0" applyProtection="0"/>
    <xf numFmtId="164" fontId="1" fillId="0" borderId="0" applyFont="0" applyFill="0" applyBorder="0" applyAlignment="0" applyProtection="0"/>
    <xf numFmtId="0" fontId="7" fillId="5"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0" fontId="29" fillId="0" borderId="0" applyNumberFormat="0" applyFill="0" applyBorder="0" applyAlignment="0" applyProtection="0"/>
  </cellStyleXfs>
  <cellXfs count="724">
    <xf numFmtId="0" fontId="0" fillId="0" borderId="0" xfId="0"/>
    <xf numFmtId="0" fontId="8" fillId="2" borderId="0" xfId="1" applyFont="1"/>
    <xf numFmtId="0" fontId="9" fillId="0" borderId="0" xfId="0" applyFont="1"/>
    <xf numFmtId="0" fontId="12" fillId="3" borderId="1" xfId="2" applyFont="1"/>
    <xf numFmtId="0" fontId="3" fillId="0" borderId="0" xfId="0" applyFont="1"/>
    <xf numFmtId="0" fontId="15" fillId="0" borderId="0" xfId="8"/>
    <xf numFmtId="0" fontId="16" fillId="0" borderId="0" xfId="7" applyFont="1"/>
    <xf numFmtId="0" fontId="17" fillId="0" borderId="0" xfId="0" applyFont="1"/>
    <xf numFmtId="0" fontId="18" fillId="0" borderId="0" xfId="0" applyFont="1"/>
    <xf numFmtId="0" fontId="9" fillId="7" borderId="0" xfId="0" applyFont="1" applyFill="1" applyAlignment="1">
      <alignment horizontal="centerContinuous"/>
    </xf>
    <xf numFmtId="0" fontId="10" fillId="8" borderId="0" xfId="0" applyFont="1" applyFill="1" applyAlignment="1">
      <alignment horizontal="centerContinuous"/>
    </xf>
    <xf numFmtId="0" fontId="10" fillId="8" borderId="7" xfId="0" applyFont="1" applyFill="1" applyBorder="1" applyAlignment="1">
      <alignment horizontal="center"/>
    </xf>
    <xf numFmtId="0" fontId="10" fillId="8" borderId="8" xfId="0" applyFont="1" applyFill="1" applyBorder="1" applyAlignment="1">
      <alignment horizontal="center"/>
    </xf>
    <xf numFmtId="0" fontId="18" fillId="7" borderId="9" xfId="0" applyFont="1" applyFill="1" applyBorder="1" applyAlignment="1">
      <alignment horizontal="center"/>
    </xf>
    <xf numFmtId="0" fontId="10" fillId="8" borderId="10" xfId="0" applyFont="1" applyFill="1" applyBorder="1" applyAlignment="1">
      <alignment horizontal="center"/>
    </xf>
    <xf numFmtId="0" fontId="18" fillId="0" borderId="12" xfId="0" applyFont="1" applyBorder="1"/>
    <xf numFmtId="0" fontId="16" fillId="0" borderId="12" xfId="7" applyFont="1" applyBorder="1"/>
    <xf numFmtId="0" fontId="9" fillId="0" borderId="12" xfId="0" applyFont="1" applyBorder="1"/>
    <xf numFmtId="0" fontId="20" fillId="0" borderId="0" xfId="0" applyFont="1"/>
    <xf numFmtId="0" fontId="16" fillId="0" borderId="0" xfId="7" applyFont="1" applyBorder="1"/>
    <xf numFmtId="0" fontId="18" fillId="9" borderId="13" xfId="0" applyFont="1" applyFill="1" applyBorder="1" applyAlignment="1">
      <alignment horizontal="center"/>
    </xf>
    <xf numFmtId="0" fontId="18" fillId="9" borderId="6" xfId="0" applyFont="1" applyFill="1" applyBorder="1" applyAlignment="1">
      <alignment horizontal="center"/>
    </xf>
    <xf numFmtId="3" fontId="22" fillId="9" borderId="5" xfId="5" applyNumberFormat="1" applyFont="1" applyFill="1" applyBorder="1" applyAlignment="1">
      <alignment horizontal="right" indent="1"/>
    </xf>
    <xf numFmtId="0" fontId="18" fillId="7" borderId="16" xfId="0" applyFont="1" applyFill="1" applyBorder="1" applyAlignment="1">
      <alignment horizontal="centerContinuous"/>
    </xf>
    <xf numFmtId="3" fontId="18" fillId="0" borderId="0" xfId="0" applyNumberFormat="1" applyFont="1"/>
    <xf numFmtId="3" fontId="11" fillId="0" borderId="5" xfId="5" applyNumberFormat="1" applyFont="1" applyFill="1" applyBorder="1" applyAlignment="1">
      <alignment horizontal="right" indent="1"/>
    </xf>
    <xf numFmtId="9" fontId="11" fillId="0" borderId="5" xfId="9" applyFont="1" applyFill="1" applyBorder="1" applyAlignment="1">
      <alignment horizontal="right" indent="1"/>
    </xf>
    <xf numFmtId="3" fontId="22" fillId="0" borderId="5" xfId="5" applyNumberFormat="1" applyFont="1" applyFill="1" applyBorder="1" applyAlignment="1">
      <alignment horizontal="right" indent="1"/>
    </xf>
    <xf numFmtId="0" fontId="10" fillId="11" borderId="20" xfId="0" applyFont="1" applyFill="1" applyBorder="1" applyAlignment="1">
      <alignment horizontal="center"/>
    </xf>
    <xf numFmtId="0" fontId="10" fillId="11" borderId="21" xfId="0" applyFont="1" applyFill="1" applyBorder="1" applyAlignment="1">
      <alignment horizontal="center"/>
    </xf>
    <xf numFmtId="0" fontId="10" fillId="11" borderId="0" xfId="0" applyFont="1" applyFill="1" applyAlignment="1">
      <alignment horizontal="centerContinuous"/>
    </xf>
    <xf numFmtId="0" fontId="9" fillId="11" borderId="0" xfId="0" applyFont="1" applyFill="1" applyAlignment="1">
      <alignment horizontal="centerContinuous"/>
    </xf>
    <xf numFmtId="166" fontId="11" fillId="0" borderId="5" xfId="5" applyNumberFormat="1" applyFont="1" applyFill="1" applyBorder="1" applyAlignment="1">
      <alignment horizontal="right" indent="1"/>
    </xf>
    <xf numFmtId="3" fontId="19" fillId="12" borderId="5" xfId="5" applyNumberFormat="1" applyFont="1" applyFill="1" applyBorder="1" applyAlignment="1">
      <alignment horizontal="right" indent="1"/>
    </xf>
    <xf numFmtId="3" fontId="11" fillId="0" borderId="11" xfId="5" applyNumberFormat="1" applyFont="1" applyFill="1" applyBorder="1" applyAlignment="1">
      <alignment horizontal="right" indent="1"/>
    </xf>
    <xf numFmtId="0" fontId="18" fillId="0" borderId="18" xfId="0" applyFont="1" applyBorder="1"/>
    <xf numFmtId="3" fontId="22" fillId="0" borderId="23" xfId="5" applyNumberFormat="1" applyFont="1" applyFill="1" applyBorder="1" applyAlignment="1">
      <alignment horizontal="right" indent="1"/>
    </xf>
    <xf numFmtId="0" fontId="10" fillId="8" borderId="24" xfId="0" applyFont="1" applyFill="1" applyBorder="1"/>
    <xf numFmtId="0" fontId="10" fillId="8" borderId="25" xfId="0" applyFont="1" applyFill="1" applyBorder="1"/>
    <xf numFmtId="9" fontId="9" fillId="0" borderId="0" xfId="0" applyNumberFormat="1" applyFont="1"/>
    <xf numFmtId="0" fontId="16" fillId="0" borderId="18" xfId="7" applyFont="1" applyBorder="1"/>
    <xf numFmtId="3" fontId="11" fillId="0" borderId="23" xfId="5" applyNumberFormat="1" applyFont="1" applyFill="1" applyBorder="1" applyAlignment="1">
      <alignment horizontal="right" indent="1"/>
    </xf>
    <xf numFmtId="0" fontId="9" fillId="0" borderId="0" xfId="0" quotePrefix="1" applyFont="1"/>
    <xf numFmtId="0" fontId="18" fillId="9" borderId="27" xfId="0" applyFont="1" applyFill="1" applyBorder="1" applyAlignment="1">
      <alignment horizontal="center"/>
    </xf>
    <xf numFmtId="10" fontId="11" fillId="0" borderId="23" xfId="9" applyNumberFormat="1" applyFont="1" applyFill="1" applyBorder="1" applyAlignment="1">
      <alignment horizontal="right" indent="1"/>
    </xf>
    <xf numFmtId="0" fontId="25" fillId="0" borderId="0" xfId="0" applyFont="1"/>
    <xf numFmtId="2" fontId="11" fillId="0" borderId="23" xfId="9" applyNumberFormat="1" applyFont="1" applyFill="1" applyBorder="1" applyAlignment="1">
      <alignment horizontal="right" indent="1"/>
    </xf>
    <xf numFmtId="2" fontId="24" fillId="14" borderId="30" xfId="0" applyNumberFormat="1" applyFont="1" applyFill="1" applyBorder="1" applyAlignment="1">
      <alignment horizontal="right" indent="1"/>
    </xf>
    <xf numFmtId="10" fontId="24" fillId="14" borderId="30" xfId="0" applyNumberFormat="1" applyFont="1" applyFill="1" applyBorder="1" applyAlignment="1">
      <alignment horizontal="right" indent="1"/>
    </xf>
    <xf numFmtId="2" fontId="22" fillId="0" borderId="23" xfId="9" applyNumberFormat="1" applyFont="1" applyFill="1" applyBorder="1" applyAlignment="1">
      <alignment horizontal="right" indent="1"/>
    </xf>
    <xf numFmtId="2" fontId="11" fillId="0" borderId="26" xfId="9" applyNumberFormat="1" applyFont="1" applyFill="1" applyBorder="1" applyAlignment="1">
      <alignment horizontal="right" indent="1"/>
    </xf>
    <xf numFmtId="10" fontId="22" fillId="0" borderId="23" xfId="9" applyNumberFormat="1" applyFont="1" applyFill="1" applyBorder="1" applyAlignment="1">
      <alignment horizontal="right" indent="1"/>
    </xf>
    <xf numFmtId="167" fontId="1" fillId="0" borderId="0" xfId="10" applyFont="1"/>
    <xf numFmtId="10" fontId="24" fillId="14" borderId="31" xfId="0" applyNumberFormat="1" applyFont="1" applyFill="1" applyBorder="1" applyAlignment="1">
      <alignment horizontal="right" indent="1"/>
    </xf>
    <xf numFmtId="10" fontId="11" fillId="0" borderId="26" xfId="9" applyNumberFormat="1" applyFont="1" applyFill="1" applyBorder="1" applyAlignment="1">
      <alignment horizontal="right" indent="1"/>
    </xf>
    <xf numFmtId="0" fontId="3" fillId="0" borderId="32" xfId="0" applyFont="1" applyBorder="1"/>
    <xf numFmtId="0" fontId="16" fillId="0" borderId="32" xfId="7" applyFont="1" applyBorder="1"/>
    <xf numFmtId="0" fontId="18" fillId="0" borderId="32" xfId="0" applyFont="1" applyBorder="1"/>
    <xf numFmtId="166" fontId="18" fillId="0" borderId="32" xfId="0" applyNumberFormat="1" applyFont="1" applyBorder="1"/>
    <xf numFmtId="10" fontId="11" fillId="0" borderId="0" xfId="9" applyNumberFormat="1" applyFont="1" applyFill="1" applyBorder="1" applyAlignment="1">
      <alignment horizontal="right" indent="1"/>
    </xf>
    <xf numFmtId="166" fontId="9" fillId="0" borderId="0" xfId="0" applyNumberFormat="1" applyFont="1"/>
    <xf numFmtId="3" fontId="9" fillId="0" borderId="0" xfId="0" applyNumberFormat="1" applyFont="1"/>
    <xf numFmtId="3" fontId="21" fillId="13" borderId="22" xfId="9" applyNumberFormat="1" applyFont="1" applyFill="1" applyBorder="1" applyAlignment="1">
      <alignment horizontal="right" vertical="center" indent="1"/>
    </xf>
    <xf numFmtId="3" fontId="21" fillId="13" borderId="33" xfId="9" applyNumberFormat="1" applyFont="1" applyFill="1" applyBorder="1" applyAlignment="1">
      <alignment horizontal="right" vertical="center" indent="1"/>
    </xf>
    <xf numFmtId="10" fontId="21" fillId="13" borderId="33" xfId="9" applyNumberFormat="1" applyFont="1" applyFill="1" applyBorder="1" applyAlignment="1">
      <alignment horizontal="right" vertical="center" indent="1"/>
    </xf>
    <xf numFmtId="10" fontId="23" fillId="13" borderId="33" xfId="9" applyNumberFormat="1" applyFont="1" applyFill="1" applyBorder="1" applyAlignment="1">
      <alignment horizontal="right" vertical="center" indent="1"/>
    </xf>
    <xf numFmtId="0" fontId="10" fillId="8" borderId="24" xfId="0" applyFont="1" applyFill="1" applyBorder="1" applyAlignment="1">
      <alignment horizontal="right"/>
    </xf>
    <xf numFmtId="0" fontId="9" fillId="0" borderId="0" xfId="0" applyFont="1" applyAlignment="1">
      <alignment horizontal="left" indent="1"/>
    </xf>
    <xf numFmtId="0" fontId="18" fillId="7" borderId="16" xfId="0" applyFont="1" applyFill="1" applyBorder="1" applyAlignment="1">
      <alignment horizontal="center"/>
    </xf>
    <xf numFmtId="3" fontId="9" fillId="0" borderId="0" xfId="0" applyNumberFormat="1" applyFont="1" applyAlignment="1">
      <alignment horizontal="center"/>
    </xf>
    <xf numFmtId="0" fontId="9" fillId="0" borderId="0" xfId="0" quotePrefix="1" applyFont="1" applyAlignment="1">
      <alignment horizontal="left" indent="1"/>
    </xf>
    <xf numFmtId="3" fontId="22" fillId="0" borderId="0" xfId="5" applyNumberFormat="1" applyFont="1" applyFill="1" applyBorder="1" applyAlignment="1">
      <alignment horizontal="right" indent="1"/>
    </xf>
    <xf numFmtId="0" fontId="27" fillId="0" borderId="18" xfId="7" applyFont="1" applyBorder="1"/>
    <xf numFmtId="0" fontId="9" fillId="6" borderId="41" xfId="0" applyFont="1" applyFill="1" applyBorder="1" applyAlignment="1">
      <alignment horizontal="center"/>
    </xf>
    <xf numFmtId="0" fontId="9" fillId="6" borderId="40" xfId="0" applyFont="1" applyFill="1" applyBorder="1" applyAlignment="1">
      <alignment horizontal="center"/>
    </xf>
    <xf numFmtId="3" fontId="11" fillId="0" borderId="42" xfId="5" applyNumberFormat="1" applyFont="1" applyFill="1" applyBorder="1" applyAlignment="1">
      <alignment horizontal="right" indent="1"/>
    </xf>
    <xf numFmtId="10" fontId="19" fillId="0" borderId="23" xfId="9" applyNumberFormat="1" applyFont="1" applyFill="1" applyBorder="1" applyAlignment="1">
      <alignment horizontal="right" indent="1"/>
    </xf>
    <xf numFmtId="9" fontId="20" fillId="0" borderId="0" xfId="9" applyFont="1"/>
    <xf numFmtId="165" fontId="11" fillId="0" borderId="23" xfId="9" applyNumberFormat="1" applyFont="1" applyFill="1" applyBorder="1" applyAlignment="1">
      <alignment horizontal="right" indent="1"/>
    </xf>
    <xf numFmtId="4" fontId="18" fillId="0" borderId="0" xfId="0" applyNumberFormat="1" applyFont="1"/>
    <xf numFmtId="10" fontId="20" fillId="0" borderId="0" xfId="9" applyNumberFormat="1" applyFont="1"/>
    <xf numFmtId="166" fontId="17" fillId="0" borderId="0" xfId="0" applyNumberFormat="1" applyFont="1"/>
    <xf numFmtId="3" fontId="28" fillId="12" borderId="5" xfId="5" applyNumberFormat="1" applyFont="1" applyFill="1" applyBorder="1" applyAlignment="1">
      <alignment horizontal="right" indent="1"/>
    </xf>
    <xf numFmtId="166" fontId="18" fillId="0" borderId="32" xfId="0" applyNumberFormat="1" applyFont="1" applyBorder="1" applyAlignment="1">
      <alignment horizontal="right" indent="1"/>
    </xf>
    <xf numFmtId="10" fontId="9" fillId="0" borderId="0" xfId="0" applyNumberFormat="1" applyFont="1"/>
    <xf numFmtId="3" fontId="11" fillId="0" borderId="0" xfId="5" applyNumberFormat="1" applyFont="1" applyFill="1" applyBorder="1" applyAlignment="1">
      <alignment horizontal="right" indent="1"/>
    </xf>
    <xf numFmtId="3" fontId="20" fillId="10" borderId="2" xfId="9" applyNumberFormat="1" applyFont="1" applyFill="1" applyBorder="1" applyAlignment="1">
      <alignment horizontal="right" vertical="center" indent="1"/>
    </xf>
    <xf numFmtId="3" fontId="20" fillId="10" borderId="14" xfId="9" applyNumberFormat="1" applyFont="1" applyFill="1" applyBorder="1" applyAlignment="1">
      <alignment horizontal="right" vertical="center" indent="1"/>
    </xf>
    <xf numFmtId="3" fontId="31" fillId="10" borderId="14" xfId="9" applyNumberFormat="1" applyFont="1" applyFill="1" applyBorder="1" applyAlignment="1">
      <alignment horizontal="right" vertical="center" indent="1"/>
    </xf>
    <xf numFmtId="3" fontId="20" fillId="10" borderId="22" xfId="9" applyNumberFormat="1" applyFont="1" applyFill="1" applyBorder="1" applyAlignment="1">
      <alignment horizontal="right" vertical="center" indent="1"/>
    </xf>
    <xf numFmtId="3" fontId="31" fillId="13" borderId="14" xfId="9" applyNumberFormat="1" applyFont="1" applyFill="1" applyBorder="1" applyAlignment="1">
      <alignment horizontal="right" vertical="center" indent="1"/>
    </xf>
    <xf numFmtId="3" fontId="9" fillId="10" borderId="14" xfId="9" applyNumberFormat="1" applyFont="1" applyFill="1" applyBorder="1" applyAlignment="1">
      <alignment horizontal="right" vertical="center" indent="1"/>
    </xf>
    <xf numFmtId="0" fontId="20" fillId="12" borderId="43" xfId="0" applyFont="1" applyFill="1" applyBorder="1"/>
    <xf numFmtId="0" fontId="20" fillId="12" borderId="44" xfId="0" applyFont="1" applyFill="1" applyBorder="1" applyProtection="1">
      <protection hidden="1"/>
    </xf>
    <xf numFmtId="0" fontId="9" fillId="0" borderId="19" xfId="0" applyFont="1" applyBorder="1"/>
    <xf numFmtId="0" fontId="34" fillId="2" borderId="0" xfId="1" applyFont="1"/>
    <xf numFmtId="0" fontId="35" fillId="0" borderId="0" xfId="0" applyFont="1"/>
    <xf numFmtId="0" fontId="36" fillId="3" borderId="1" xfId="2" applyFont="1"/>
    <xf numFmtId="0" fontId="37" fillId="0" borderId="0" xfId="0" applyFont="1"/>
    <xf numFmtId="9" fontId="9" fillId="0" borderId="0" xfId="9" applyFont="1" applyAlignment="1">
      <alignment horizontal="right" indent="1"/>
    </xf>
    <xf numFmtId="9" fontId="9" fillId="0" borderId="0" xfId="0" applyNumberFormat="1" applyFont="1" applyAlignment="1">
      <alignment horizontal="right" indent="1"/>
    </xf>
    <xf numFmtId="14" fontId="9" fillId="0" borderId="0" xfId="0" applyNumberFormat="1" applyFont="1" applyAlignment="1">
      <alignment horizontal="right" indent="1"/>
    </xf>
    <xf numFmtId="0" fontId="18" fillId="0" borderId="19" xfId="0" applyFont="1" applyBorder="1"/>
    <xf numFmtId="9" fontId="19" fillId="12" borderId="5" xfId="9" applyFont="1" applyFill="1" applyBorder="1" applyAlignment="1">
      <alignment horizontal="right" indent="1"/>
    </xf>
    <xf numFmtId="4" fontId="11" fillId="0" borderId="5" xfId="5" applyNumberFormat="1" applyFont="1" applyFill="1" applyBorder="1" applyAlignment="1">
      <alignment horizontal="right" indent="1"/>
    </xf>
    <xf numFmtId="0" fontId="38" fillId="0" borderId="0" xfId="0" applyFont="1"/>
    <xf numFmtId="4" fontId="9" fillId="0" borderId="0" xfId="0" applyNumberFormat="1" applyFont="1"/>
    <xf numFmtId="4" fontId="11" fillId="0" borderId="11" xfId="5" applyNumberFormat="1" applyFont="1" applyFill="1" applyBorder="1" applyAlignment="1">
      <alignment horizontal="right" indent="1"/>
    </xf>
    <xf numFmtId="9" fontId="22" fillId="0" borderId="23" xfId="9" applyFont="1" applyFill="1" applyBorder="1" applyAlignment="1">
      <alignment horizontal="right" indent="1"/>
    </xf>
    <xf numFmtId="0" fontId="35" fillId="0" borderId="18" xfId="0" applyFont="1" applyBorder="1"/>
    <xf numFmtId="3" fontId="9" fillId="0" borderId="0" xfId="0" applyNumberFormat="1" applyFont="1" applyAlignment="1">
      <alignment horizontal="right" indent="1"/>
    </xf>
    <xf numFmtId="10" fontId="9" fillId="0" borderId="57" xfId="0" applyNumberFormat="1" applyFont="1" applyBorder="1" applyAlignment="1">
      <alignment horizontal="right" indent="1"/>
    </xf>
    <xf numFmtId="10" fontId="9" fillId="0" borderId="41" xfId="0" applyNumberFormat="1" applyFont="1" applyBorder="1" applyAlignment="1">
      <alignment horizontal="right" indent="1"/>
    </xf>
    <xf numFmtId="10" fontId="9" fillId="0" borderId="58" xfId="0" applyNumberFormat="1" applyFont="1" applyBorder="1" applyAlignment="1">
      <alignment horizontal="right" indent="1"/>
    </xf>
    <xf numFmtId="10" fontId="9" fillId="0" borderId="40" xfId="0" applyNumberFormat="1" applyFont="1" applyBorder="1" applyAlignment="1">
      <alignment horizontal="right" indent="1"/>
    </xf>
    <xf numFmtId="10" fontId="9" fillId="0" borderId="0" xfId="0" applyNumberFormat="1" applyFont="1" applyAlignment="1">
      <alignment horizontal="right" indent="1"/>
    </xf>
    <xf numFmtId="14" fontId="9" fillId="0" borderId="0" xfId="0" applyNumberFormat="1" applyFont="1" applyAlignment="1">
      <alignment horizontal="center"/>
    </xf>
    <xf numFmtId="169" fontId="9" fillId="0" borderId="0" xfId="0" applyNumberFormat="1" applyFont="1" applyAlignment="1">
      <alignment horizontal="right" indent="1"/>
    </xf>
    <xf numFmtId="165" fontId="9" fillId="0" borderId="0" xfId="9" applyNumberFormat="1" applyFont="1"/>
    <xf numFmtId="0" fontId="18" fillId="0" borderId="15" xfId="0" applyFont="1" applyBorder="1" applyAlignment="1">
      <alignment horizontal="center"/>
    </xf>
    <xf numFmtId="0" fontId="9" fillId="0" borderId="18" xfId="0" applyFont="1" applyBorder="1"/>
    <xf numFmtId="3" fontId="9" fillId="0" borderId="18" xfId="0" applyNumberFormat="1" applyFont="1" applyBorder="1" applyAlignment="1">
      <alignment horizontal="right" indent="1"/>
    </xf>
    <xf numFmtId="0" fontId="37" fillId="0" borderId="32" xfId="0" applyFont="1" applyBorder="1"/>
    <xf numFmtId="3" fontId="18" fillId="0" borderId="32" xfId="0" applyNumberFormat="1" applyFont="1" applyBorder="1" applyAlignment="1">
      <alignment horizontal="right" indent="1"/>
    </xf>
    <xf numFmtId="3" fontId="10" fillId="0" borderId="54" xfId="5" applyNumberFormat="1" applyFont="1" applyFill="1" applyBorder="1" applyAlignment="1">
      <alignment horizontal="right" indent="1"/>
    </xf>
    <xf numFmtId="10" fontId="9" fillId="0" borderId="55" xfId="0" applyNumberFormat="1" applyFont="1" applyBorder="1" applyAlignment="1">
      <alignment horizontal="right" indent="1"/>
    </xf>
    <xf numFmtId="10" fontId="9" fillId="0" borderId="34" xfId="0" applyNumberFormat="1" applyFont="1" applyBorder="1" applyAlignment="1">
      <alignment horizontal="right" indent="1"/>
    </xf>
    <xf numFmtId="10" fontId="9" fillId="0" borderId="56" xfId="0" applyNumberFormat="1" applyFont="1" applyBorder="1" applyAlignment="1">
      <alignment horizontal="right" indent="1"/>
    </xf>
    <xf numFmtId="10" fontId="9" fillId="0" borderId="17" xfId="0" applyNumberFormat="1" applyFont="1" applyBorder="1" applyAlignment="1">
      <alignment horizontal="right" indent="1"/>
    </xf>
    <xf numFmtId="3" fontId="11" fillId="0" borderId="22" xfId="0" applyNumberFormat="1" applyFont="1" applyBorder="1" applyAlignment="1">
      <alignment horizontal="right" indent="1"/>
    </xf>
    <xf numFmtId="3" fontId="11" fillId="0" borderId="18" xfId="0" applyNumberFormat="1" applyFont="1" applyBorder="1" applyAlignment="1">
      <alignment horizontal="right" indent="1"/>
    </xf>
    <xf numFmtId="3" fontId="11" fillId="0" borderId="48" xfId="0" applyNumberFormat="1" applyFont="1" applyBorder="1" applyAlignment="1">
      <alignment horizontal="right" indent="1"/>
    </xf>
    <xf numFmtId="3" fontId="11" fillId="0" borderId="49" xfId="0" applyNumberFormat="1" applyFont="1" applyBorder="1" applyAlignment="1">
      <alignment horizontal="right" indent="1"/>
    </xf>
    <xf numFmtId="3" fontId="11" fillId="0" borderId="50" xfId="0" applyNumberFormat="1" applyFont="1" applyBorder="1" applyAlignment="1">
      <alignment horizontal="right" indent="1"/>
    </xf>
    <xf numFmtId="3" fontId="11" fillId="0" borderId="0" xfId="0" applyNumberFormat="1" applyFont="1" applyAlignment="1">
      <alignment horizontal="right" indent="1"/>
    </xf>
    <xf numFmtId="3" fontId="11" fillId="0" borderId="47" xfId="0" applyNumberFormat="1" applyFont="1" applyBorder="1" applyAlignment="1">
      <alignment horizontal="right" indent="1"/>
    </xf>
    <xf numFmtId="3" fontId="11" fillId="0" borderId="29" xfId="0" applyNumberFormat="1" applyFont="1" applyBorder="1" applyAlignment="1">
      <alignment horizontal="right" indent="1"/>
    </xf>
    <xf numFmtId="3" fontId="11" fillId="0" borderId="51" xfId="0" applyNumberFormat="1" applyFont="1" applyBorder="1" applyAlignment="1">
      <alignment horizontal="right" indent="1"/>
    </xf>
    <xf numFmtId="3" fontId="11" fillId="0" borderId="46" xfId="0" applyNumberFormat="1" applyFont="1" applyBorder="1" applyAlignment="1">
      <alignment horizontal="right" indent="1"/>
    </xf>
    <xf numFmtId="3" fontId="11" fillId="0" borderId="52" xfId="0" applyNumberFormat="1" applyFont="1" applyBorder="1" applyAlignment="1">
      <alignment horizontal="right" indent="1"/>
    </xf>
    <xf numFmtId="3" fontId="11" fillId="0" borderId="35" xfId="0" applyNumberFormat="1" applyFont="1" applyBorder="1" applyAlignment="1">
      <alignment horizontal="right" indent="1"/>
    </xf>
    <xf numFmtId="3" fontId="11" fillId="0" borderId="19" xfId="0" applyNumberFormat="1" applyFont="1" applyBorder="1" applyAlignment="1">
      <alignment horizontal="right" indent="1"/>
    </xf>
    <xf numFmtId="3" fontId="11" fillId="0" borderId="53" xfId="0" applyNumberFormat="1" applyFont="1" applyBorder="1" applyAlignment="1">
      <alignment horizontal="right" indent="1"/>
    </xf>
    <xf numFmtId="3" fontId="11" fillId="0" borderId="28" xfId="0" applyNumberFormat="1" applyFont="1" applyBorder="1" applyAlignment="1">
      <alignment horizontal="right" indent="1"/>
    </xf>
    <xf numFmtId="3" fontId="22" fillId="15" borderId="45" xfId="0" applyNumberFormat="1" applyFont="1" applyFill="1" applyBorder="1" applyAlignment="1">
      <alignment horizontal="right" indent="1"/>
    </xf>
    <xf numFmtId="0" fontId="35" fillId="7" borderId="0" xfId="0" applyFont="1" applyFill="1" applyAlignment="1">
      <alignment horizontal="center"/>
    </xf>
    <xf numFmtId="0" fontId="9" fillId="7" borderId="0" xfId="0" applyFont="1" applyFill="1" applyAlignment="1">
      <alignment horizontal="center"/>
    </xf>
    <xf numFmtId="10" fontId="9" fillId="7" borderId="0" xfId="0" applyNumberFormat="1" applyFont="1" applyFill="1" applyAlignment="1">
      <alignment horizontal="left"/>
    </xf>
    <xf numFmtId="10" fontId="9" fillId="0" borderId="0" xfId="9" applyNumberFormat="1" applyFont="1"/>
    <xf numFmtId="0" fontId="9" fillId="0" borderId="22" xfId="0" applyFont="1" applyBorder="1"/>
    <xf numFmtId="165" fontId="9" fillId="0" borderId="49" xfId="9" applyNumberFormat="1" applyFont="1" applyBorder="1"/>
    <xf numFmtId="0" fontId="9" fillId="0" borderId="35" xfId="0" applyFont="1" applyBorder="1"/>
    <xf numFmtId="0" fontId="35" fillId="0" borderId="19" xfId="0" applyFont="1" applyBorder="1"/>
    <xf numFmtId="165" fontId="9" fillId="0" borderId="28" xfId="9" applyNumberFormat="1" applyFont="1" applyBorder="1"/>
    <xf numFmtId="168" fontId="9" fillId="0" borderId="0" xfId="0" applyNumberFormat="1" applyFont="1" applyAlignment="1">
      <alignment horizontal="right" indent="1"/>
    </xf>
    <xf numFmtId="0" fontId="40" fillId="0" borderId="0" xfId="0" applyFont="1"/>
    <xf numFmtId="170" fontId="9" fillId="0" borderId="0" xfId="0" applyNumberFormat="1" applyFont="1"/>
    <xf numFmtId="10" fontId="11" fillId="0" borderId="5" xfId="9" applyNumberFormat="1" applyFont="1" applyFill="1" applyBorder="1" applyAlignment="1">
      <alignment horizontal="right" indent="1"/>
    </xf>
    <xf numFmtId="10" fontId="22" fillId="0" borderId="5" xfId="9" applyNumberFormat="1" applyFont="1" applyFill="1" applyBorder="1" applyAlignment="1">
      <alignment horizontal="right" indent="1"/>
    </xf>
    <xf numFmtId="0" fontId="41" fillId="0" borderId="0" xfId="0" applyFont="1"/>
    <xf numFmtId="3" fontId="10" fillId="0" borderId="62" xfId="5" applyNumberFormat="1" applyFont="1" applyFill="1" applyBorder="1" applyAlignment="1">
      <alignment horizontal="right" indent="1"/>
    </xf>
    <xf numFmtId="10" fontId="9" fillId="0" borderId="50" xfId="0" applyNumberFormat="1" applyFont="1" applyBorder="1" applyAlignment="1">
      <alignment horizontal="right" indent="1"/>
    </xf>
    <xf numFmtId="10" fontId="9" fillId="0" borderId="35" xfId="0" applyNumberFormat="1" applyFont="1" applyBorder="1" applyAlignment="1">
      <alignment horizontal="right" indent="1"/>
    </xf>
    <xf numFmtId="10" fontId="9" fillId="0" borderId="14" xfId="0" applyNumberFormat="1" applyFont="1" applyBorder="1" applyAlignment="1">
      <alignment horizontal="right" indent="1"/>
    </xf>
    <xf numFmtId="3" fontId="11" fillId="0" borderId="63" xfId="0" applyNumberFormat="1" applyFont="1" applyBorder="1" applyAlignment="1">
      <alignment horizontal="right" indent="1"/>
    </xf>
    <xf numFmtId="3" fontId="11" fillId="0" borderId="64" xfId="0" applyNumberFormat="1" applyFont="1" applyBorder="1" applyAlignment="1">
      <alignment horizontal="right" indent="1"/>
    </xf>
    <xf numFmtId="3" fontId="22" fillId="15" borderId="66" xfId="0" applyNumberFormat="1" applyFont="1" applyFill="1" applyBorder="1" applyAlignment="1">
      <alignment horizontal="right" indent="1"/>
    </xf>
    <xf numFmtId="3" fontId="11" fillId="0" borderId="67" xfId="0" applyNumberFormat="1" applyFont="1" applyBorder="1" applyAlignment="1">
      <alignment horizontal="right" indent="1"/>
    </xf>
    <xf numFmtId="10" fontId="11" fillId="0" borderId="65" xfId="0" applyNumberFormat="1" applyFont="1" applyBorder="1" applyAlignment="1">
      <alignment horizontal="right" indent="1"/>
    </xf>
    <xf numFmtId="0" fontId="9" fillId="16" borderId="0" xfId="0" applyFont="1" applyFill="1"/>
    <xf numFmtId="0" fontId="39" fillId="16" borderId="0" xfId="0" applyFont="1" applyFill="1"/>
    <xf numFmtId="0" fontId="35" fillId="16" borderId="0" xfId="0" applyFont="1" applyFill="1"/>
    <xf numFmtId="0" fontId="40" fillId="16" borderId="0" xfId="0" applyFont="1" applyFill="1"/>
    <xf numFmtId="3" fontId="39" fillId="16" borderId="0" xfId="0" applyNumberFormat="1" applyFont="1" applyFill="1" applyAlignment="1">
      <alignment horizontal="right" indent="1"/>
    </xf>
    <xf numFmtId="0" fontId="42" fillId="0" borderId="0" xfId="0" applyFont="1"/>
    <xf numFmtId="166" fontId="42" fillId="0" borderId="0" xfId="0" applyNumberFormat="1" applyFont="1" applyAlignment="1">
      <alignment horizontal="right" indent="1"/>
    </xf>
    <xf numFmtId="9" fontId="38" fillId="0" borderId="0" xfId="9" applyFont="1"/>
    <xf numFmtId="0" fontId="9" fillId="0" borderId="0" xfId="0" applyFont="1" applyAlignment="1">
      <alignment horizontal="right"/>
    </xf>
    <xf numFmtId="0" fontId="9" fillId="0" borderId="0" xfId="0" applyFont="1" applyAlignment="1">
      <alignment horizontal="right" indent="1"/>
    </xf>
    <xf numFmtId="0" fontId="45" fillId="0" borderId="19" xfId="8" applyFont="1" applyBorder="1"/>
    <xf numFmtId="0" fontId="18" fillId="0" borderId="68" xfId="0" applyFont="1" applyBorder="1" applyAlignment="1">
      <alignment horizontal="center"/>
    </xf>
    <xf numFmtId="0" fontId="18" fillId="0" borderId="68" xfId="0" applyFont="1" applyBorder="1"/>
    <xf numFmtId="9" fontId="35" fillId="0" borderId="0" xfId="9" applyFont="1"/>
    <xf numFmtId="0" fontId="9" fillId="0" borderId="0" xfId="0" applyFont="1" applyAlignment="1">
      <alignment horizontal="left"/>
    </xf>
    <xf numFmtId="0" fontId="9" fillId="0" borderId="0" xfId="0" applyFont="1" applyAlignment="1">
      <alignment horizontal="left" vertical="top"/>
    </xf>
    <xf numFmtId="0" fontId="20" fillId="0" borderId="0" xfId="0" applyFont="1" applyAlignment="1">
      <alignment horizontal="centerContinuous"/>
    </xf>
    <xf numFmtId="0" fontId="10" fillId="17" borderId="0" xfId="0" applyFont="1" applyFill="1"/>
    <xf numFmtId="0" fontId="9" fillId="0" borderId="45" xfId="0" applyFont="1" applyBorder="1" applyAlignment="1">
      <alignment horizontal="left" vertical="top"/>
    </xf>
    <xf numFmtId="0" fontId="9" fillId="0" borderId="45" xfId="0" applyFont="1" applyBorder="1" applyAlignment="1">
      <alignment horizontal="left" vertical="top" wrapText="1"/>
    </xf>
    <xf numFmtId="0" fontId="9" fillId="0" borderId="69" xfId="0" applyFont="1" applyBorder="1"/>
    <xf numFmtId="0" fontId="9" fillId="20" borderId="0" xfId="0" applyFont="1" applyFill="1"/>
    <xf numFmtId="0" fontId="9" fillId="19" borderId="71" xfId="0" applyFont="1" applyFill="1" applyBorder="1" applyProtection="1">
      <protection locked="0"/>
    </xf>
    <xf numFmtId="0" fontId="9" fillId="19" borderId="24" xfId="0" applyFont="1" applyFill="1" applyBorder="1" applyProtection="1">
      <protection locked="0"/>
    </xf>
    <xf numFmtId="0" fontId="18" fillId="0" borderId="34" xfId="0" applyFont="1" applyBorder="1"/>
    <xf numFmtId="165" fontId="9" fillId="0" borderId="0" xfId="0" applyNumberFormat="1" applyFont="1"/>
    <xf numFmtId="166" fontId="49" fillId="0" borderId="0" xfId="0" applyNumberFormat="1" applyFont="1" applyAlignment="1">
      <alignment horizontal="right" indent="1"/>
    </xf>
    <xf numFmtId="0" fontId="10" fillId="17" borderId="0" xfId="0" applyFont="1" applyFill="1" applyAlignment="1">
      <alignment horizontal="center"/>
    </xf>
    <xf numFmtId="0" fontId="53" fillId="21" borderId="0" xfId="0" applyFont="1" applyFill="1"/>
    <xf numFmtId="0" fontId="9" fillId="0" borderId="74" xfId="0" applyFont="1" applyBorder="1"/>
    <xf numFmtId="0" fontId="9" fillId="0" borderId="75" xfId="0" applyFont="1" applyBorder="1"/>
    <xf numFmtId="0" fontId="9" fillId="0" borderId="76" xfId="0" applyFont="1" applyBorder="1"/>
    <xf numFmtId="0" fontId="9" fillId="0" borderId="78" xfId="0" applyFont="1" applyBorder="1"/>
    <xf numFmtId="0" fontId="9" fillId="0" borderId="77" xfId="0" applyFont="1" applyBorder="1"/>
    <xf numFmtId="0" fontId="9" fillId="0" borderId="79" xfId="0" applyFont="1" applyBorder="1"/>
    <xf numFmtId="0" fontId="33" fillId="17" borderId="19" xfId="3" applyFont="1" applyFill="1" applyBorder="1" applyAlignment="1">
      <alignment horizontal="left"/>
    </xf>
    <xf numFmtId="0" fontId="9" fillId="17" borderId="19" xfId="0" applyFont="1" applyFill="1" applyBorder="1"/>
    <xf numFmtId="0" fontId="9" fillId="17" borderId="80" xfId="0" applyFont="1" applyFill="1" applyBorder="1"/>
    <xf numFmtId="0" fontId="33" fillId="17" borderId="82" xfId="3" applyFont="1" applyFill="1" applyBorder="1" applyAlignment="1">
      <alignment horizontal="center"/>
    </xf>
    <xf numFmtId="0" fontId="33" fillId="17" borderId="81" xfId="3" applyFont="1" applyFill="1" applyBorder="1" applyAlignment="1">
      <alignment horizontal="center"/>
    </xf>
    <xf numFmtId="0" fontId="33" fillId="17" borderId="17" xfId="3" applyFont="1" applyFill="1" applyBorder="1" applyAlignment="1">
      <alignment horizontal="left"/>
    </xf>
    <xf numFmtId="0" fontId="9" fillId="17" borderId="0" xfId="0" applyFont="1" applyFill="1"/>
    <xf numFmtId="166" fontId="54" fillId="0" borderId="0" xfId="0" applyNumberFormat="1" applyFont="1" applyAlignment="1">
      <alignment horizontal="left" indent="1"/>
    </xf>
    <xf numFmtId="0" fontId="55" fillId="0" borderId="0" xfId="0" applyFont="1"/>
    <xf numFmtId="0" fontId="39" fillId="17" borderId="0" xfId="0" applyFont="1" applyFill="1"/>
    <xf numFmtId="0" fontId="35" fillId="17" borderId="0" xfId="0" applyFont="1" applyFill="1"/>
    <xf numFmtId="0" fontId="40" fillId="17" borderId="0" xfId="0" applyFont="1" applyFill="1"/>
    <xf numFmtId="3" fontId="39" fillId="17" borderId="0" xfId="0" applyNumberFormat="1" applyFont="1" applyFill="1" applyAlignment="1">
      <alignment horizontal="right" indent="1"/>
    </xf>
    <xf numFmtId="171" fontId="49" fillId="0" borderId="0" xfId="0" applyNumberFormat="1" applyFont="1" applyAlignment="1">
      <alignment horizontal="left" indent="1"/>
    </xf>
    <xf numFmtId="0" fontId="15" fillId="0" borderId="0" xfId="8" applyBorder="1"/>
    <xf numFmtId="0" fontId="51" fillId="9" borderId="4" xfId="6" applyFont="1" applyFill="1" applyAlignment="1">
      <alignment horizontal="center" vertical="center"/>
      <extLst>
        <ext xmlns:xfpb="http://schemas.microsoft.com/office/spreadsheetml/2022/featurepropertybag" uri="{C7286773-470A-42A8-94C5-96B5CB345126}">
          <xfpb:xfComplement i="0"/>
        </ext>
      </extLst>
    </xf>
    <xf numFmtId="3" fontId="11" fillId="9" borderId="5" xfId="5" applyNumberFormat="1" applyFont="1" applyFill="1" applyBorder="1" applyAlignment="1">
      <alignment horizontal="right" indent="1"/>
    </xf>
    <xf numFmtId="3" fontId="31" fillId="13" borderId="2" xfId="9" applyNumberFormat="1" applyFont="1" applyFill="1" applyBorder="1" applyAlignment="1">
      <alignment horizontal="right" vertical="center" indent="1"/>
    </xf>
    <xf numFmtId="0" fontId="11" fillId="17" borderId="0" xfId="0" applyFont="1" applyFill="1"/>
    <xf numFmtId="0" fontId="9" fillId="0" borderId="0" xfId="0" applyFont="1" applyAlignment="1">
      <alignment horizontal="left" indent="2"/>
    </xf>
    <xf numFmtId="0" fontId="9" fillId="0" borderId="18" xfId="0" applyFont="1" applyBorder="1" applyAlignment="1">
      <alignment horizontal="left" indent="1"/>
    </xf>
    <xf numFmtId="3" fontId="9" fillId="13" borderId="14" xfId="9" applyNumberFormat="1" applyFont="1" applyFill="1" applyBorder="1" applyAlignment="1">
      <alignment horizontal="right" vertical="center" indent="1"/>
    </xf>
    <xf numFmtId="3" fontId="16" fillId="0" borderId="0" xfId="7" applyNumberFormat="1" applyFont="1" applyBorder="1" applyAlignment="1">
      <alignment horizontal="left"/>
    </xf>
    <xf numFmtId="9" fontId="16" fillId="0" borderId="0" xfId="9" applyFont="1" applyBorder="1" applyAlignment="1">
      <alignment horizontal="left"/>
    </xf>
    <xf numFmtId="3" fontId="18" fillId="13" borderId="14" xfId="9" applyNumberFormat="1" applyFont="1" applyFill="1" applyBorder="1" applyAlignment="1">
      <alignment horizontal="right" vertical="center" indent="1"/>
    </xf>
    <xf numFmtId="9" fontId="21" fillId="13" borderId="22" xfId="9" applyFont="1" applyFill="1" applyBorder="1" applyAlignment="1">
      <alignment horizontal="right" vertical="center" indent="1"/>
    </xf>
    <xf numFmtId="10" fontId="11" fillId="9" borderId="5" xfId="9" applyNumberFormat="1" applyFont="1" applyFill="1" applyBorder="1" applyAlignment="1">
      <alignment horizontal="right" indent="1"/>
    </xf>
    <xf numFmtId="4" fontId="11" fillId="9" borderId="5" xfId="5" applyNumberFormat="1" applyFont="1" applyFill="1" applyBorder="1" applyAlignment="1">
      <alignment horizontal="right" indent="1"/>
    </xf>
    <xf numFmtId="10" fontId="22" fillId="9" borderId="5" xfId="9" applyNumberFormat="1" applyFont="1" applyFill="1" applyBorder="1" applyAlignment="1">
      <alignment horizontal="right" indent="1"/>
    </xf>
    <xf numFmtId="173" fontId="9" fillId="6" borderId="40" xfId="0" applyNumberFormat="1" applyFont="1" applyFill="1" applyBorder="1" applyAlignment="1">
      <alignment horizontal="center"/>
    </xf>
    <xf numFmtId="174" fontId="9" fillId="0" borderId="0" xfId="0" applyNumberFormat="1" applyFont="1"/>
    <xf numFmtId="0" fontId="9" fillId="22" borderId="0" xfId="0" quotePrefix="1" applyFont="1" applyFill="1" applyAlignment="1">
      <alignment horizontal="left" indent="1"/>
    </xf>
    <xf numFmtId="0" fontId="9" fillId="22" borderId="0" xfId="0" applyFont="1" applyFill="1"/>
    <xf numFmtId="3" fontId="31" fillId="23" borderId="14" xfId="9" applyNumberFormat="1" applyFont="1" applyFill="1" applyBorder="1" applyAlignment="1">
      <alignment horizontal="right" vertical="center" indent="1"/>
    </xf>
    <xf numFmtId="3" fontId="11" fillId="22" borderId="5" xfId="5" applyNumberFormat="1" applyFont="1" applyFill="1" applyBorder="1" applyAlignment="1">
      <alignment horizontal="right" indent="1"/>
    </xf>
    <xf numFmtId="175" fontId="9" fillId="0" borderId="0" xfId="0" applyNumberFormat="1" applyFont="1"/>
    <xf numFmtId="4" fontId="11" fillId="0" borderId="23" xfId="5" applyNumberFormat="1" applyFont="1" applyFill="1" applyBorder="1" applyAlignment="1">
      <alignment horizontal="right" indent="1"/>
    </xf>
    <xf numFmtId="2" fontId="20" fillId="0" borderId="0" xfId="9" applyNumberFormat="1" applyFont="1"/>
    <xf numFmtId="3" fontId="23" fillId="13" borderId="22" xfId="9" applyNumberFormat="1" applyFont="1" applyFill="1" applyBorder="1" applyAlignment="1">
      <alignment horizontal="right" vertical="center" indent="1"/>
    </xf>
    <xf numFmtId="3" fontId="23" fillId="13" borderId="33" xfId="9" applyNumberFormat="1" applyFont="1" applyFill="1" applyBorder="1" applyAlignment="1">
      <alignment horizontal="right" vertical="center" indent="1"/>
    </xf>
    <xf numFmtId="3" fontId="22" fillId="0" borderId="42" xfId="5" applyNumberFormat="1" applyFont="1" applyFill="1" applyBorder="1" applyAlignment="1">
      <alignment horizontal="right" indent="1"/>
    </xf>
    <xf numFmtId="0" fontId="0" fillId="0" borderId="0" xfId="0" quotePrefix="1"/>
    <xf numFmtId="3" fontId="20" fillId="0" borderId="0" xfId="0" applyNumberFormat="1" applyFont="1" applyAlignment="1">
      <alignment horizontal="center"/>
    </xf>
    <xf numFmtId="0" fontId="30" fillId="0" borderId="64" xfId="11" applyFont="1" applyFill="1" applyBorder="1"/>
    <xf numFmtId="0" fontId="9" fillId="0" borderId="83" xfId="0" applyFont="1" applyBorder="1"/>
    <xf numFmtId="0" fontId="20" fillId="12" borderId="84" xfId="0" applyFont="1" applyFill="1" applyBorder="1"/>
    <xf numFmtId="0" fontId="30" fillId="0" borderId="78" xfId="11" applyFont="1" applyFill="1" applyBorder="1" applyAlignment="1">
      <alignment horizontal="left"/>
    </xf>
    <xf numFmtId="0" fontId="30" fillId="0" borderId="0" xfId="11" applyFont="1" applyFill="1"/>
    <xf numFmtId="0" fontId="30" fillId="0" borderId="75" xfId="11" applyFont="1" applyFill="1" applyBorder="1" applyAlignment="1">
      <alignment horizontal="left"/>
    </xf>
    <xf numFmtId="0" fontId="29" fillId="0" borderId="78" xfId="11" applyFill="1" applyBorder="1" applyAlignment="1">
      <alignment horizontal="left"/>
    </xf>
    <xf numFmtId="4" fontId="22" fillId="0" borderId="42" xfId="5" applyNumberFormat="1" applyFont="1" applyFill="1" applyBorder="1" applyAlignment="1">
      <alignment horizontal="right" indent="1"/>
    </xf>
    <xf numFmtId="0" fontId="9" fillId="0" borderId="87" xfId="0" applyFont="1" applyBorder="1"/>
    <xf numFmtId="0" fontId="9" fillId="0" borderId="0" xfId="0" applyFont="1" applyAlignment="1">
      <alignment horizontal="center"/>
    </xf>
    <xf numFmtId="0" fontId="0" fillId="0" borderId="19" xfId="0" applyBorder="1" applyAlignment="1">
      <alignment horizontal="centerContinuous"/>
    </xf>
    <xf numFmtId="15" fontId="9" fillId="0" borderId="0" xfId="0" applyNumberFormat="1" applyFont="1"/>
    <xf numFmtId="14" fontId="9" fillId="0" borderId="0" xfId="0" applyNumberFormat="1" applyFont="1"/>
    <xf numFmtId="166" fontId="18" fillId="0" borderId="18" xfId="0" applyNumberFormat="1" applyFont="1" applyBorder="1"/>
    <xf numFmtId="0" fontId="29" fillId="0" borderId="0" xfId="11"/>
    <xf numFmtId="0" fontId="9" fillId="0" borderId="50" xfId="0" applyFont="1" applyBorder="1"/>
    <xf numFmtId="165" fontId="9" fillId="0" borderId="29" xfId="9" applyNumberFormat="1" applyFont="1" applyBorder="1"/>
    <xf numFmtId="9" fontId="9" fillId="0" borderId="0" xfId="9" applyFont="1"/>
    <xf numFmtId="0" fontId="18" fillId="0" borderId="14" xfId="0" applyFont="1" applyBorder="1"/>
    <xf numFmtId="0" fontId="37" fillId="0" borderId="34" xfId="0" applyFont="1" applyBorder="1"/>
    <xf numFmtId="9" fontId="18" fillId="0" borderId="17" xfId="9" applyFont="1" applyBorder="1"/>
    <xf numFmtId="165" fontId="11" fillId="0" borderId="5" xfId="9" applyNumberFormat="1" applyFont="1" applyFill="1" applyBorder="1" applyAlignment="1">
      <alignment horizontal="right" indent="1"/>
    </xf>
    <xf numFmtId="166" fontId="11" fillId="0" borderId="5" xfId="9" applyNumberFormat="1" applyFont="1" applyFill="1" applyBorder="1" applyAlignment="1">
      <alignment horizontal="right" indent="1"/>
    </xf>
    <xf numFmtId="166" fontId="22" fillId="0" borderId="5" xfId="9" applyNumberFormat="1" applyFont="1" applyFill="1" applyBorder="1" applyAlignment="1">
      <alignment horizontal="right" indent="1"/>
    </xf>
    <xf numFmtId="165" fontId="22" fillId="0" borderId="5" xfId="9" applyNumberFormat="1" applyFont="1" applyFill="1" applyBorder="1" applyAlignment="1">
      <alignment horizontal="right" indent="1"/>
    </xf>
    <xf numFmtId="165" fontId="9" fillId="0" borderId="0" xfId="9" applyNumberFormat="1" applyFont="1" applyAlignment="1">
      <alignment horizontal="right" indent="1"/>
    </xf>
    <xf numFmtId="165" fontId="9" fillId="0" borderId="0" xfId="0" applyNumberFormat="1" applyFont="1" applyAlignment="1">
      <alignment horizontal="right" indent="1"/>
    </xf>
    <xf numFmtId="165" fontId="18" fillId="0" borderId="17" xfId="9" applyNumberFormat="1" applyFont="1" applyBorder="1"/>
    <xf numFmtId="0" fontId="27" fillId="0" borderId="0" xfId="7" applyFont="1"/>
    <xf numFmtId="166" fontId="22" fillId="0" borderId="5" xfId="5" applyNumberFormat="1" applyFont="1" applyFill="1" applyBorder="1" applyAlignment="1">
      <alignment horizontal="right" indent="1"/>
    </xf>
    <xf numFmtId="9" fontId="46" fillId="0" borderId="0" xfId="9" applyFont="1" applyBorder="1" applyAlignment="1">
      <alignment horizontal="center"/>
    </xf>
    <xf numFmtId="0" fontId="59" fillId="0" borderId="0" xfId="0" applyFont="1"/>
    <xf numFmtId="176" fontId="60" fillId="0" borderId="0" xfId="0" applyNumberFormat="1" applyFont="1" applyAlignment="1">
      <alignment horizontal="left" indent="1"/>
    </xf>
    <xf numFmtId="171" fontId="62" fillId="0" borderId="0" xfId="0" applyNumberFormat="1" applyFont="1" applyAlignment="1">
      <alignment horizontal="left" indent="1"/>
    </xf>
    <xf numFmtId="166" fontId="62" fillId="0" borderId="0" xfId="0" applyNumberFormat="1" applyFont="1" applyAlignment="1">
      <alignment horizontal="left" indent="1"/>
    </xf>
    <xf numFmtId="0" fontId="9" fillId="0" borderId="0" xfId="0" applyFont="1" applyAlignment="1">
      <alignment vertical="top" wrapText="1"/>
    </xf>
    <xf numFmtId="165" fontId="20" fillId="10" borderId="14" xfId="9" applyNumberFormat="1" applyFont="1" applyFill="1" applyBorder="1" applyAlignment="1">
      <alignment horizontal="right" vertical="center" indent="1"/>
    </xf>
    <xf numFmtId="0" fontId="18" fillId="0" borderId="94" xfId="0" applyFont="1" applyBorder="1"/>
    <xf numFmtId="0" fontId="35" fillId="0" borderId="94" xfId="0" applyFont="1" applyBorder="1"/>
    <xf numFmtId="0" fontId="9" fillId="0" borderId="94" xfId="0" applyFont="1" applyBorder="1"/>
    <xf numFmtId="0" fontId="9" fillId="0" borderId="93" xfId="0" applyFont="1" applyBorder="1"/>
    <xf numFmtId="0" fontId="9" fillId="0" borderId="0" xfId="0" applyFont="1" applyAlignment="1">
      <alignment wrapText="1"/>
    </xf>
    <xf numFmtId="3" fontId="13" fillId="6" borderId="5" xfId="5" applyNumberFormat="1" applyFont="1" applyFill="1" applyBorder="1" applyAlignment="1">
      <alignment horizontal="right" vertical="center"/>
    </xf>
    <xf numFmtId="0" fontId="9" fillId="20" borderId="0" xfId="0" applyFont="1" applyFill="1" applyAlignment="1">
      <alignment vertical="center"/>
    </xf>
    <xf numFmtId="3" fontId="9" fillId="0" borderId="0" xfId="0" applyNumberFormat="1" applyFont="1" applyAlignment="1">
      <alignment vertical="center"/>
    </xf>
    <xf numFmtId="3" fontId="9" fillId="0" borderId="20" xfId="0" applyNumberFormat="1" applyFont="1" applyBorder="1" applyAlignment="1">
      <alignment vertical="center"/>
    </xf>
    <xf numFmtId="0" fontId="18" fillId="20" borderId="0" xfId="0" applyFont="1" applyFill="1" applyAlignment="1">
      <alignment vertical="center"/>
    </xf>
    <xf numFmtId="0" fontId="9" fillId="0" borderId="0" xfId="0" applyFont="1" applyAlignment="1">
      <alignment vertical="center"/>
    </xf>
    <xf numFmtId="3" fontId="9" fillId="0" borderId="18" xfId="0" applyNumberFormat="1" applyFont="1" applyBorder="1" applyAlignment="1">
      <alignment vertical="center"/>
    </xf>
    <xf numFmtId="0" fontId="18" fillId="0" borderId="18" xfId="0" applyFont="1" applyBorder="1" applyAlignment="1">
      <alignment vertical="center"/>
    </xf>
    <xf numFmtId="0" fontId="58" fillId="0" borderId="0" xfId="0" applyFont="1"/>
    <xf numFmtId="0" fontId="9" fillId="0" borderId="0" xfId="0" applyFont="1" applyAlignment="1">
      <alignment vertical="top"/>
    </xf>
    <xf numFmtId="0" fontId="15" fillId="0" borderId="0" xfId="8" applyAlignment="1">
      <alignment vertical="top"/>
    </xf>
    <xf numFmtId="0" fontId="75" fillId="0" borderId="0" xfId="0" applyFont="1" applyAlignment="1">
      <alignment vertical="center"/>
    </xf>
    <xf numFmtId="0" fontId="9" fillId="15" borderId="0" xfId="0" applyFont="1" applyFill="1" applyAlignment="1">
      <alignment horizontal="centerContinuous"/>
    </xf>
    <xf numFmtId="0" fontId="18" fillId="25" borderId="13" xfId="0" applyFont="1" applyFill="1" applyBorder="1" applyAlignment="1">
      <alignment horizontal="center"/>
    </xf>
    <xf numFmtId="0" fontId="10" fillId="24" borderId="0" xfId="0" applyFont="1" applyFill="1" applyAlignment="1">
      <alignment horizontal="centerContinuous"/>
    </xf>
    <xf numFmtId="0" fontId="18" fillId="15" borderId="114" xfId="0" applyFont="1" applyFill="1" applyBorder="1" applyAlignment="1">
      <alignment horizontal="center"/>
    </xf>
    <xf numFmtId="0" fontId="18" fillId="25" borderId="27" xfId="0" applyFont="1" applyFill="1" applyBorder="1" applyAlignment="1">
      <alignment horizontal="center"/>
    </xf>
    <xf numFmtId="0" fontId="10" fillId="24" borderId="115" xfId="0" applyFont="1" applyFill="1" applyBorder="1" applyAlignment="1">
      <alignment horizontal="center"/>
    </xf>
    <xf numFmtId="0" fontId="10" fillId="24" borderId="116" xfId="0" applyFont="1" applyFill="1" applyBorder="1" applyAlignment="1">
      <alignment horizontal="center"/>
    </xf>
    <xf numFmtId="0" fontId="10" fillId="24" borderId="117" xfId="0" applyFont="1" applyFill="1" applyBorder="1" applyAlignment="1">
      <alignment horizontal="center"/>
    </xf>
    <xf numFmtId="0" fontId="10" fillId="17" borderId="129" xfId="0" applyFont="1" applyFill="1" applyBorder="1" applyAlignment="1">
      <alignment horizontal="center"/>
    </xf>
    <xf numFmtId="173" fontId="10" fillId="17" borderId="128" xfId="0" applyNumberFormat="1" applyFont="1" applyFill="1" applyBorder="1" applyAlignment="1">
      <alignment horizontal="center"/>
    </xf>
    <xf numFmtId="9" fontId="0" fillId="0" borderId="0" xfId="0" applyNumberFormat="1"/>
    <xf numFmtId="10" fontId="0" fillId="0" borderId="0" xfId="0" applyNumberFormat="1"/>
    <xf numFmtId="166" fontId="22" fillId="0" borderId="32" xfId="9" applyNumberFormat="1" applyFont="1" applyFill="1" applyBorder="1" applyAlignment="1">
      <alignment horizontal="right" indent="1"/>
    </xf>
    <xf numFmtId="166" fontId="22" fillId="0" borderId="86" xfId="9" applyNumberFormat="1" applyFont="1" applyFill="1" applyBorder="1" applyAlignment="1">
      <alignment horizontal="right" indent="1"/>
    </xf>
    <xf numFmtId="0" fontId="9" fillId="0" borderId="0" xfId="0" applyFont="1" applyAlignment="1">
      <alignment horizontal="left" wrapText="1"/>
    </xf>
    <xf numFmtId="0" fontId="9" fillId="0" borderId="19" xfId="0" applyFont="1" applyBorder="1" applyAlignment="1">
      <alignment horizontal="left" wrapText="1"/>
    </xf>
    <xf numFmtId="0" fontId="9" fillId="7" borderId="0" xfId="0" applyFont="1" applyFill="1" applyAlignment="1">
      <alignment horizontal="center" vertical="center" wrapText="1"/>
    </xf>
    <xf numFmtId="3" fontId="9" fillId="0" borderId="85" xfId="0" applyNumberFormat="1" applyFont="1" applyBorder="1" applyAlignment="1">
      <alignment horizontal="center"/>
    </xf>
    <xf numFmtId="3" fontId="9" fillId="0" borderId="77" xfId="0" applyNumberFormat="1" applyFont="1" applyBorder="1" applyAlignment="1">
      <alignment horizontal="center"/>
    </xf>
    <xf numFmtId="9" fontId="46" fillId="0" borderId="14" xfId="9" applyFont="1" applyBorder="1" applyAlignment="1">
      <alignment horizontal="left"/>
    </xf>
    <xf numFmtId="9" fontId="46" fillId="0" borderId="34" xfId="9" applyFont="1" applyBorder="1" applyAlignment="1">
      <alignment horizontal="left"/>
    </xf>
    <xf numFmtId="9" fontId="46" fillId="0" borderId="17" xfId="9" applyFont="1" applyBorder="1" applyAlignment="1">
      <alignment horizontal="left"/>
    </xf>
    <xf numFmtId="0" fontId="9" fillId="0" borderId="0" xfId="0" applyFont="1" applyAlignment="1">
      <alignment horizontal="left" vertical="center" wrapText="1"/>
    </xf>
    <xf numFmtId="0" fontId="9" fillId="0" borderId="19" xfId="0" applyFont="1" applyBorder="1" applyAlignment="1">
      <alignment horizontal="left" vertical="center" wrapText="1"/>
    </xf>
    <xf numFmtId="10" fontId="24" fillId="14" borderId="59" xfId="0" applyNumberFormat="1" applyFont="1" applyFill="1" applyBorder="1" applyAlignment="1">
      <alignment horizontal="center"/>
    </xf>
    <xf numFmtId="10" fontId="24" fillId="14" borderId="60" xfId="0" applyNumberFormat="1" applyFont="1" applyFill="1" applyBorder="1" applyAlignment="1">
      <alignment horizontal="center"/>
    </xf>
    <xf numFmtId="10" fontId="24" fillId="14" borderId="61" xfId="0" applyNumberFormat="1" applyFont="1" applyFill="1" applyBorder="1" applyAlignment="1">
      <alignment horizontal="center"/>
    </xf>
    <xf numFmtId="10" fontId="24" fillId="14" borderId="59" xfId="0" applyNumberFormat="1" applyFont="1" applyFill="1" applyBorder="1" applyAlignment="1">
      <alignment horizontal="left"/>
    </xf>
    <xf numFmtId="10" fontId="24" fillId="14" borderId="60" xfId="0" applyNumberFormat="1" applyFont="1" applyFill="1" applyBorder="1" applyAlignment="1">
      <alignment horizontal="left"/>
    </xf>
    <xf numFmtId="10" fontId="24" fillId="14" borderId="61" xfId="0" applyNumberFormat="1" applyFont="1" applyFill="1" applyBorder="1" applyAlignment="1">
      <alignment horizontal="left"/>
    </xf>
    <xf numFmtId="169" fontId="64" fillId="0" borderId="50" xfId="0" applyNumberFormat="1" applyFont="1" applyBorder="1" applyAlignment="1">
      <alignment horizontal="center" vertical="center"/>
    </xf>
    <xf numFmtId="169" fontId="64" fillId="0" borderId="0" xfId="0" applyNumberFormat="1" applyFont="1" applyAlignment="1">
      <alignment horizontal="center" vertical="center"/>
    </xf>
    <xf numFmtId="169" fontId="64" fillId="0" borderId="29" xfId="0" applyNumberFormat="1" applyFont="1" applyBorder="1" applyAlignment="1">
      <alignment horizontal="center" vertical="center"/>
    </xf>
    <xf numFmtId="169" fontId="64" fillId="0" borderId="35" xfId="0" applyNumberFormat="1" applyFont="1" applyBorder="1" applyAlignment="1">
      <alignment horizontal="center" vertical="center"/>
    </xf>
    <xf numFmtId="169" fontId="64" fillId="0" borderId="19" xfId="0" applyNumberFormat="1" applyFont="1" applyBorder="1" applyAlignment="1">
      <alignment horizontal="center" vertical="center"/>
    </xf>
    <xf numFmtId="169" fontId="64" fillId="0" borderId="28" xfId="0" applyNumberFormat="1" applyFont="1" applyBorder="1" applyAlignment="1">
      <alignment horizontal="center" vertical="center"/>
    </xf>
    <xf numFmtId="0" fontId="10" fillId="24" borderId="88" xfId="0" applyFont="1" applyFill="1" applyBorder="1" applyAlignment="1">
      <alignment horizontal="center" vertical="top" wrapText="1"/>
    </xf>
    <xf numFmtId="0" fontId="10" fillId="24" borderId="89" xfId="0" applyFont="1" applyFill="1" applyBorder="1" applyAlignment="1">
      <alignment horizontal="center" vertical="top" wrapText="1"/>
    </xf>
    <xf numFmtId="0" fontId="10" fillId="24" borderId="90" xfId="0" applyFont="1" applyFill="1" applyBorder="1" applyAlignment="1">
      <alignment horizontal="center" vertical="top" wrapText="1"/>
    </xf>
    <xf numFmtId="0" fontId="10" fillId="24" borderId="91" xfId="0" applyFont="1" applyFill="1" applyBorder="1" applyAlignment="1">
      <alignment horizontal="center" vertical="top" wrapText="1"/>
    </xf>
    <xf numFmtId="0" fontId="10" fillId="24" borderId="0" xfId="0" applyFont="1" applyFill="1" applyAlignment="1">
      <alignment horizontal="center" vertical="top" wrapText="1"/>
    </xf>
    <xf numFmtId="0" fontId="10" fillId="24" borderId="92" xfId="0" applyFont="1" applyFill="1" applyBorder="1" applyAlignment="1">
      <alignment horizontal="center" vertical="top" wrapText="1"/>
    </xf>
    <xf numFmtId="0" fontId="18" fillId="15" borderId="88" xfId="0" applyFont="1" applyFill="1" applyBorder="1" applyAlignment="1">
      <alignment horizontal="center" vertical="top" wrapText="1"/>
    </xf>
    <xf numFmtId="0" fontId="18" fillId="15" borderId="89" xfId="0" applyFont="1" applyFill="1" applyBorder="1" applyAlignment="1">
      <alignment horizontal="center" vertical="top" wrapText="1"/>
    </xf>
    <xf numFmtId="0" fontId="18" fillId="15" borderId="90" xfId="0" applyFont="1" applyFill="1" applyBorder="1" applyAlignment="1">
      <alignment horizontal="center" vertical="top" wrapText="1"/>
    </xf>
    <xf numFmtId="0" fontId="18" fillId="15" borderId="91" xfId="0" applyFont="1" applyFill="1" applyBorder="1" applyAlignment="1">
      <alignment horizontal="center" vertical="top" wrapText="1"/>
    </xf>
    <xf numFmtId="0" fontId="18" fillId="15" borderId="0" xfId="0" applyFont="1" applyFill="1" applyAlignment="1">
      <alignment horizontal="center" vertical="top" wrapText="1"/>
    </xf>
    <xf numFmtId="0" fontId="18" fillId="15" borderId="92" xfId="0" applyFont="1" applyFill="1" applyBorder="1" applyAlignment="1">
      <alignment horizontal="center" vertical="top" wrapText="1"/>
    </xf>
    <xf numFmtId="165" fontId="64" fillId="0" borderId="50" xfId="0" applyNumberFormat="1" applyFont="1" applyBorder="1" applyAlignment="1">
      <alignment horizontal="center" vertical="center" wrapText="1"/>
    </xf>
    <xf numFmtId="0" fontId="64" fillId="0" borderId="0" xfId="0" applyFont="1" applyAlignment="1">
      <alignment horizontal="center" vertical="center" wrapText="1"/>
    </xf>
    <xf numFmtId="0" fontId="64" fillId="0" borderId="29" xfId="0" applyFont="1" applyBorder="1" applyAlignment="1">
      <alignment horizontal="center" vertical="center" wrapText="1"/>
    </xf>
    <xf numFmtId="0" fontId="64" fillId="0" borderId="50" xfId="0" applyFont="1" applyBorder="1" applyAlignment="1">
      <alignment horizontal="center" vertical="center" wrapText="1"/>
    </xf>
    <xf numFmtId="0" fontId="64" fillId="0" borderId="35" xfId="0" applyFont="1" applyBorder="1" applyAlignment="1">
      <alignment horizontal="center" vertical="center" wrapText="1"/>
    </xf>
    <xf numFmtId="0" fontId="64" fillId="0" borderId="19" xfId="0" applyFont="1" applyBorder="1" applyAlignment="1">
      <alignment horizontal="center" vertical="center" wrapText="1"/>
    </xf>
    <xf numFmtId="0" fontId="64" fillId="0" borderId="28" xfId="0" applyFont="1" applyBorder="1" applyAlignment="1">
      <alignment horizontal="center" vertical="center" wrapText="1"/>
    </xf>
    <xf numFmtId="9" fontId="46" fillId="0" borderId="14" xfId="9" applyFont="1" applyBorder="1" applyAlignment="1">
      <alignment horizontal="center"/>
    </xf>
    <xf numFmtId="9" fontId="46" fillId="0" borderId="34" xfId="9" applyFont="1" applyBorder="1" applyAlignment="1">
      <alignment horizontal="center"/>
    </xf>
    <xf numFmtId="9" fontId="46" fillId="0" borderId="17" xfId="9" applyFont="1" applyBorder="1" applyAlignment="1">
      <alignment horizontal="center"/>
    </xf>
    <xf numFmtId="10" fontId="24" fillId="14" borderId="95" xfId="0" applyNumberFormat="1" applyFont="1" applyFill="1" applyBorder="1" applyAlignment="1">
      <alignment horizontal="center"/>
    </xf>
    <xf numFmtId="10" fontId="24" fillId="14" borderId="96" xfId="0" applyNumberFormat="1" applyFont="1" applyFill="1" applyBorder="1" applyAlignment="1">
      <alignment horizontal="center"/>
    </xf>
    <xf numFmtId="10" fontId="24" fillId="14" borderId="97" xfId="0" applyNumberFormat="1" applyFont="1" applyFill="1" applyBorder="1" applyAlignment="1">
      <alignment horizontal="center"/>
    </xf>
    <xf numFmtId="164" fontId="13" fillId="6" borderId="5" xfId="5" applyFont="1" applyFill="1" applyBorder="1" applyAlignment="1" applyProtection="1">
      <protection locked="0"/>
    </xf>
    <xf numFmtId="164" fontId="13" fillId="6" borderId="5" xfId="5" applyFont="1" applyFill="1" applyBorder="1" applyAlignment="1" applyProtection="1">
      <alignment horizontal="left"/>
      <protection locked="0"/>
    </xf>
    <xf numFmtId="0" fontId="13" fillId="6" borderId="4" xfId="6" applyNumberFormat="1" applyFont="1" applyFill="1" applyAlignment="1" applyProtection="1">
      <alignment horizontal="left" indent="1"/>
      <protection locked="0"/>
    </xf>
    <xf numFmtId="0" fontId="13" fillId="6" borderId="5" xfId="5" applyNumberFormat="1" applyFont="1" applyFill="1" applyBorder="1" applyAlignment="1" applyProtection="1">
      <alignment horizontal="left" indent="1"/>
      <protection locked="0"/>
    </xf>
    <xf numFmtId="9" fontId="13" fillId="6" borderId="5" xfId="9" applyFont="1" applyFill="1" applyBorder="1" applyAlignment="1" applyProtection="1">
      <alignment horizontal="left" indent="1"/>
      <protection locked="0"/>
    </xf>
    <xf numFmtId="15" fontId="13" fillId="6" borderId="4" xfId="6" applyNumberFormat="1" applyFont="1" applyFill="1" applyAlignment="1" applyProtection="1">
      <alignment horizontal="left" indent="1"/>
      <protection locked="0"/>
    </xf>
    <xf numFmtId="3" fontId="13" fillId="6" borderId="5" xfId="5" applyNumberFormat="1" applyFont="1" applyFill="1" applyBorder="1" applyAlignment="1" applyProtection="1">
      <alignment horizontal="right" indent="1"/>
      <protection locked="0"/>
    </xf>
    <xf numFmtId="3" fontId="13" fillId="6" borderId="11" xfId="5" applyNumberFormat="1" applyFont="1" applyFill="1" applyBorder="1" applyAlignment="1" applyProtection="1">
      <alignment horizontal="right" indent="1"/>
      <protection locked="0"/>
    </xf>
    <xf numFmtId="3" fontId="13" fillId="6" borderId="5" xfId="5" applyNumberFormat="1" applyFont="1" applyFill="1" applyBorder="1" applyAlignment="1" applyProtection="1">
      <alignment horizontal="left" vertical="center" indent="1"/>
      <protection locked="0"/>
    </xf>
    <xf numFmtId="3" fontId="13" fillId="6" borderId="5" xfId="5" applyNumberFormat="1" applyFont="1" applyFill="1" applyBorder="1" applyAlignment="1" applyProtection="1">
      <alignment horizontal="right" vertical="center"/>
      <protection locked="0"/>
    </xf>
    <xf numFmtId="165" fontId="13" fillId="6" borderId="5" xfId="9" applyNumberFormat="1" applyFont="1" applyFill="1" applyBorder="1" applyAlignment="1" applyProtection="1">
      <alignment horizontal="right" indent="1"/>
      <protection locked="0"/>
    </xf>
    <xf numFmtId="0" fontId="8" fillId="2" borderId="0" xfId="1" applyFont="1" applyProtection="1">
      <protection hidden="1"/>
    </xf>
    <xf numFmtId="0" fontId="9" fillId="0" borderId="0" xfId="0" applyFont="1" applyProtection="1">
      <protection hidden="1"/>
    </xf>
    <xf numFmtId="0" fontId="12" fillId="3" borderId="1" xfId="2" applyFont="1" applyProtection="1">
      <protection hidden="1"/>
    </xf>
    <xf numFmtId="0" fontId="33" fillId="17" borderId="19" xfId="3" applyFont="1" applyFill="1" applyBorder="1" applyAlignment="1" applyProtection="1">
      <alignment horizontal="left"/>
      <protection hidden="1"/>
    </xf>
    <xf numFmtId="0" fontId="9" fillId="17" borderId="19" xfId="0" applyFont="1" applyFill="1" applyBorder="1" applyProtection="1">
      <protection hidden="1"/>
    </xf>
    <xf numFmtId="0" fontId="30" fillId="0" borderId="64" xfId="11" applyFont="1" applyFill="1" applyBorder="1" applyProtection="1">
      <protection hidden="1"/>
    </xf>
    <xf numFmtId="0" fontId="9" fillId="0" borderId="75" xfId="0" applyFont="1" applyBorder="1" applyProtection="1">
      <protection hidden="1"/>
    </xf>
    <xf numFmtId="0" fontId="30" fillId="0" borderId="78" xfId="11" applyFont="1" applyFill="1" applyBorder="1" applyAlignment="1" applyProtection="1">
      <alignment horizontal="left"/>
      <protection hidden="1"/>
    </xf>
    <xf numFmtId="0" fontId="9" fillId="0" borderId="78" xfId="0" applyFont="1" applyBorder="1" applyProtection="1">
      <protection hidden="1"/>
    </xf>
    <xf numFmtId="0" fontId="33" fillId="17" borderId="17" xfId="3" applyFont="1" applyFill="1" applyBorder="1" applyAlignment="1" applyProtection="1">
      <alignment horizontal="left"/>
      <protection hidden="1"/>
    </xf>
    <xf numFmtId="0" fontId="9" fillId="17" borderId="0" xfId="0" applyFont="1" applyFill="1" applyProtection="1">
      <protection hidden="1"/>
    </xf>
    <xf numFmtId="0" fontId="30" fillId="0" borderId="0" xfId="11" applyFont="1" applyFill="1" applyProtection="1">
      <protection hidden="1"/>
    </xf>
    <xf numFmtId="0" fontId="29" fillId="0" borderId="78" xfId="11" applyFill="1" applyBorder="1" applyAlignment="1" applyProtection="1">
      <alignment horizontal="left"/>
      <protection hidden="1"/>
    </xf>
    <xf numFmtId="0" fontId="30" fillId="0" borderId="75" xfId="11" applyFont="1" applyFill="1" applyBorder="1" applyAlignment="1" applyProtection="1">
      <alignment horizontal="left"/>
      <protection hidden="1"/>
    </xf>
    <xf numFmtId="0" fontId="15" fillId="0" borderId="0" xfId="8" applyProtection="1">
      <protection hidden="1"/>
    </xf>
    <xf numFmtId="0" fontId="16" fillId="0" borderId="0" xfId="7" applyFont="1" applyProtection="1">
      <protection hidden="1"/>
    </xf>
    <xf numFmtId="0" fontId="18" fillId="0" borderId="18" xfId="0" applyFont="1" applyBorder="1" applyProtection="1">
      <protection hidden="1"/>
    </xf>
    <xf numFmtId="0" fontId="16" fillId="0" borderId="18" xfId="7" applyFont="1" applyBorder="1" applyProtection="1">
      <protection hidden="1"/>
    </xf>
    <xf numFmtId="10" fontId="9" fillId="0" borderId="0" xfId="0" applyNumberFormat="1" applyFont="1" applyAlignment="1" applyProtection="1">
      <alignment horizontal="right" indent="1"/>
      <protection hidden="1"/>
    </xf>
    <xf numFmtId="0" fontId="17" fillId="0" borderId="0" xfId="0" applyFont="1" applyProtection="1">
      <protection hidden="1"/>
    </xf>
    <xf numFmtId="10" fontId="9" fillId="0" borderId="0" xfId="9" applyNumberFormat="1" applyFont="1" applyAlignment="1" applyProtection="1">
      <alignment horizontal="right" indent="1"/>
      <protection hidden="1"/>
    </xf>
    <xf numFmtId="3" fontId="9" fillId="0" borderId="0" xfId="0" applyNumberFormat="1" applyFont="1" applyProtection="1">
      <protection hidden="1"/>
    </xf>
    <xf numFmtId="10" fontId="18" fillId="0" borderId="18" xfId="0" applyNumberFormat="1" applyFont="1" applyBorder="1" applyAlignment="1" applyProtection="1">
      <alignment horizontal="right" indent="1"/>
      <protection hidden="1"/>
    </xf>
    <xf numFmtId="0" fontId="9" fillId="0" borderId="0" xfId="0" applyFont="1" applyAlignment="1" applyProtection="1">
      <alignment horizontal="left"/>
      <protection hidden="1"/>
    </xf>
    <xf numFmtId="0" fontId="9" fillId="17" borderId="80" xfId="0" applyFont="1" applyFill="1" applyBorder="1" applyProtection="1">
      <protection hidden="1"/>
    </xf>
    <xf numFmtId="0" fontId="33" fillId="17" borderId="82" xfId="3" applyFont="1" applyFill="1" applyBorder="1" applyAlignment="1" applyProtection="1">
      <alignment horizontal="center"/>
      <protection hidden="1"/>
    </xf>
    <xf numFmtId="0" fontId="33" fillId="17" borderId="81" xfId="3" applyFont="1" applyFill="1" applyBorder="1" applyAlignment="1" applyProtection="1">
      <alignment horizontal="center"/>
      <protection hidden="1"/>
    </xf>
    <xf numFmtId="0" fontId="9" fillId="0" borderId="76" xfId="0" applyFont="1" applyBorder="1" applyProtection="1">
      <protection hidden="1"/>
    </xf>
    <xf numFmtId="0" fontId="9" fillId="0" borderId="79" xfId="0" applyFont="1" applyBorder="1" applyProtection="1">
      <protection hidden="1"/>
    </xf>
    <xf numFmtId="0" fontId="9" fillId="0" borderId="77" xfId="0" applyFont="1" applyBorder="1" applyProtection="1">
      <protection hidden="1"/>
    </xf>
    <xf numFmtId="0" fontId="9" fillId="0" borderId="74" xfId="0" applyFont="1" applyBorder="1" applyProtection="1">
      <protection hidden="1"/>
    </xf>
    <xf numFmtId="0" fontId="20" fillId="12" borderId="43" xfId="0" applyFont="1" applyFill="1" applyBorder="1" applyProtection="1">
      <protection hidden="1"/>
    </xf>
    <xf numFmtId="0" fontId="9" fillId="0" borderId="83" xfId="0" applyFont="1" applyBorder="1" applyProtection="1">
      <protection hidden="1"/>
    </xf>
    <xf numFmtId="0" fontId="20" fillId="12" borderId="84" xfId="0" applyFont="1" applyFill="1" applyBorder="1" applyProtection="1">
      <protection hidden="1"/>
    </xf>
    <xf numFmtId="3" fontId="9" fillId="0" borderId="85" xfId="0" applyNumberFormat="1" applyFont="1" applyBorder="1" applyAlignment="1" applyProtection="1">
      <alignment horizontal="center"/>
      <protection hidden="1"/>
    </xf>
    <xf numFmtId="3" fontId="9" fillId="0" borderId="77" xfId="0" applyNumberFormat="1" applyFont="1" applyBorder="1" applyAlignment="1" applyProtection="1">
      <alignment horizontal="center"/>
      <protection hidden="1"/>
    </xf>
    <xf numFmtId="9" fontId="58" fillId="0" borderId="0" xfId="9" applyFont="1" applyFill="1" applyBorder="1" applyAlignment="1" applyProtection="1">
      <alignment horizontal="right" indent="1"/>
      <protection hidden="1"/>
    </xf>
    <xf numFmtId="9" fontId="11" fillId="0" borderId="0" xfId="9" applyFont="1" applyFill="1" applyBorder="1" applyAlignment="1" applyProtection="1">
      <alignment horizontal="right" indent="1"/>
      <protection hidden="1"/>
    </xf>
    <xf numFmtId="0" fontId="9" fillId="0" borderId="0" xfId="0" applyFont="1" applyAlignment="1" applyProtection="1">
      <alignment horizontal="right" indent="1"/>
      <protection hidden="1"/>
    </xf>
    <xf numFmtId="0" fontId="9" fillId="15" borderId="0" xfId="0" applyFont="1" applyFill="1" applyAlignment="1" applyProtection="1">
      <alignment horizontal="centerContinuous"/>
      <protection hidden="1"/>
    </xf>
    <xf numFmtId="0" fontId="18" fillId="25" borderId="13" xfId="0" applyFont="1" applyFill="1" applyBorder="1" applyAlignment="1" applyProtection="1">
      <alignment horizontal="center"/>
      <protection hidden="1"/>
    </xf>
    <xf numFmtId="0" fontId="18" fillId="15" borderId="114" xfId="0" applyFont="1" applyFill="1" applyBorder="1" applyAlignment="1" applyProtection="1">
      <alignment horizontal="center"/>
      <protection hidden="1"/>
    </xf>
    <xf numFmtId="0" fontId="18" fillId="25" borderId="27" xfId="0" applyFont="1" applyFill="1" applyBorder="1" applyAlignment="1" applyProtection="1">
      <alignment horizontal="center"/>
      <protection hidden="1"/>
    </xf>
    <xf numFmtId="3" fontId="20" fillId="10" borderId="2" xfId="9" applyNumberFormat="1" applyFont="1" applyFill="1" applyBorder="1" applyAlignment="1" applyProtection="1">
      <alignment horizontal="right" vertical="center" indent="1"/>
      <protection hidden="1"/>
    </xf>
    <xf numFmtId="3" fontId="11" fillId="0" borderId="119" xfId="5" applyNumberFormat="1" applyFont="1" applyFill="1" applyBorder="1" applyAlignment="1" applyProtection="1">
      <alignment horizontal="right" indent="1"/>
      <protection hidden="1"/>
    </xf>
    <xf numFmtId="3" fontId="11" fillId="0" borderId="118" xfId="5" applyNumberFormat="1" applyFont="1" applyFill="1" applyBorder="1" applyAlignment="1" applyProtection="1">
      <alignment horizontal="right" indent="1"/>
      <protection hidden="1"/>
    </xf>
    <xf numFmtId="0" fontId="16" fillId="0" borderId="0" xfId="0" applyFont="1" applyProtection="1">
      <protection hidden="1"/>
    </xf>
    <xf numFmtId="0" fontId="16" fillId="0" borderId="0" xfId="7" applyFont="1" applyBorder="1" applyProtection="1">
      <protection hidden="1"/>
    </xf>
    <xf numFmtId="165" fontId="16" fillId="9" borderId="104" xfId="9" applyNumberFormat="1" applyFont="1" applyFill="1" applyBorder="1" applyAlignment="1" applyProtection="1">
      <alignment horizontal="right" indent="1"/>
      <protection hidden="1"/>
    </xf>
    <xf numFmtId="165" fontId="16" fillId="9" borderId="107" xfId="9" applyNumberFormat="1" applyFont="1" applyFill="1" applyBorder="1" applyAlignment="1" applyProtection="1">
      <alignment horizontal="right" indent="1"/>
      <protection hidden="1"/>
    </xf>
    <xf numFmtId="3" fontId="11" fillId="0" borderId="110" xfId="5" applyNumberFormat="1" applyFont="1" applyFill="1" applyBorder="1" applyAlignment="1" applyProtection="1">
      <alignment horizontal="right" indent="1"/>
      <protection hidden="1"/>
    </xf>
    <xf numFmtId="3" fontId="11" fillId="0" borderId="111" xfId="5" applyNumberFormat="1" applyFont="1" applyFill="1" applyBorder="1" applyAlignment="1" applyProtection="1">
      <alignment horizontal="right" indent="1"/>
      <protection hidden="1"/>
    </xf>
    <xf numFmtId="0" fontId="18" fillId="0" borderId="12" xfId="0" applyFont="1" applyBorder="1" applyProtection="1">
      <protection hidden="1"/>
    </xf>
    <xf numFmtId="0" fontId="16" fillId="0" borderId="12" xfId="7" applyFont="1" applyBorder="1" applyProtection="1">
      <protection hidden="1"/>
    </xf>
    <xf numFmtId="0" fontId="9" fillId="0" borderId="12" xfId="0" applyFont="1" applyBorder="1" applyProtection="1">
      <protection hidden="1"/>
    </xf>
    <xf numFmtId="3" fontId="22" fillId="0" borderId="18" xfId="5" applyNumberFormat="1" applyFont="1" applyFill="1" applyBorder="1" applyAlignment="1" applyProtection="1">
      <alignment horizontal="right" indent="1"/>
      <protection hidden="1"/>
    </xf>
    <xf numFmtId="3" fontId="22" fillId="0" borderId="49" xfId="5" applyNumberFormat="1" applyFont="1" applyFill="1" applyBorder="1" applyAlignment="1" applyProtection="1">
      <alignment horizontal="right" indent="1"/>
      <protection hidden="1"/>
    </xf>
    <xf numFmtId="165" fontId="16" fillId="9" borderId="0" xfId="9" applyNumberFormat="1" applyFont="1" applyFill="1" applyBorder="1" applyAlignment="1" applyProtection="1">
      <alignment horizontal="right" indent="1"/>
      <protection hidden="1"/>
    </xf>
    <xf numFmtId="165" fontId="16" fillId="9" borderId="29" xfId="9" applyNumberFormat="1" applyFont="1" applyFill="1" applyBorder="1" applyAlignment="1" applyProtection="1">
      <alignment horizontal="right" indent="1"/>
      <protection hidden="1"/>
    </xf>
    <xf numFmtId="0" fontId="9" fillId="0" borderId="29" xfId="0" applyFont="1" applyBorder="1" applyProtection="1">
      <protection hidden="1"/>
    </xf>
    <xf numFmtId="3" fontId="11" fillId="0" borderId="103" xfId="5" applyNumberFormat="1" applyFont="1" applyFill="1" applyBorder="1" applyAlignment="1" applyProtection="1">
      <alignment horizontal="right" indent="1"/>
      <protection hidden="1"/>
    </xf>
    <xf numFmtId="3" fontId="11" fillId="0" borderId="106" xfId="5" applyNumberFormat="1" applyFont="1" applyFill="1" applyBorder="1" applyAlignment="1" applyProtection="1">
      <alignment horizontal="right" indent="1"/>
      <protection hidden="1"/>
    </xf>
    <xf numFmtId="3" fontId="11" fillId="0" borderId="104" xfId="5" applyNumberFormat="1" applyFont="1" applyFill="1" applyBorder="1" applyAlignment="1" applyProtection="1">
      <alignment horizontal="right" indent="1"/>
      <protection hidden="1"/>
    </xf>
    <xf numFmtId="3" fontId="11" fillId="0" borderId="107" xfId="5" applyNumberFormat="1" applyFont="1" applyFill="1" applyBorder="1" applyAlignment="1" applyProtection="1">
      <alignment horizontal="right" indent="1"/>
      <protection hidden="1"/>
    </xf>
    <xf numFmtId="3" fontId="11" fillId="0" borderId="105" xfId="5" applyNumberFormat="1" applyFont="1" applyFill="1" applyBorder="1" applyAlignment="1" applyProtection="1">
      <alignment horizontal="right" indent="1"/>
      <protection hidden="1"/>
    </xf>
    <xf numFmtId="3" fontId="11" fillId="0" borderId="121" xfId="5" applyNumberFormat="1" applyFont="1" applyFill="1" applyBorder="1" applyAlignment="1" applyProtection="1">
      <alignment horizontal="right" indent="1"/>
      <protection hidden="1"/>
    </xf>
    <xf numFmtId="3" fontId="11" fillId="0" borderId="120" xfId="5" applyNumberFormat="1" applyFont="1" applyFill="1" applyBorder="1" applyAlignment="1" applyProtection="1">
      <alignment horizontal="right" indent="1"/>
      <protection hidden="1"/>
    </xf>
    <xf numFmtId="3" fontId="11" fillId="0" borderId="125" xfId="5" applyNumberFormat="1" applyFont="1" applyFill="1" applyBorder="1" applyAlignment="1" applyProtection="1">
      <alignment horizontal="right" indent="1"/>
      <protection hidden="1"/>
    </xf>
    <xf numFmtId="3" fontId="22" fillId="9" borderId="18" xfId="5" applyNumberFormat="1" applyFont="1" applyFill="1" applyBorder="1" applyAlignment="1" applyProtection="1">
      <alignment horizontal="right" indent="1"/>
      <protection hidden="1"/>
    </xf>
    <xf numFmtId="3" fontId="22" fillId="9" borderId="49" xfId="5" applyNumberFormat="1" applyFont="1" applyFill="1" applyBorder="1" applyAlignment="1" applyProtection="1">
      <alignment horizontal="right" indent="1"/>
      <protection hidden="1"/>
    </xf>
    <xf numFmtId="3" fontId="22" fillId="7" borderId="18" xfId="5" applyNumberFormat="1" applyFont="1" applyFill="1" applyBorder="1" applyAlignment="1" applyProtection="1">
      <alignment horizontal="right" indent="1"/>
      <protection hidden="1"/>
    </xf>
    <xf numFmtId="3" fontId="11" fillId="7" borderId="63" xfId="5" applyNumberFormat="1" applyFont="1" applyFill="1" applyBorder="1" applyAlignment="1" applyProtection="1">
      <alignment horizontal="right" indent="1"/>
      <protection hidden="1"/>
    </xf>
    <xf numFmtId="165" fontId="16" fillId="7" borderId="51" xfId="9" applyNumberFormat="1" applyFont="1" applyFill="1" applyBorder="1" applyAlignment="1" applyProtection="1">
      <alignment horizontal="right" indent="1"/>
      <protection hidden="1"/>
    </xf>
    <xf numFmtId="3" fontId="11" fillId="7" borderId="113" xfId="5" applyNumberFormat="1" applyFont="1" applyFill="1" applyBorder="1" applyAlignment="1" applyProtection="1">
      <alignment horizontal="right" indent="1"/>
      <protection hidden="1"/>
    </xf>
    <xf numFmtId="165" fontId="16" fillId="7" borderId="109" xfId="9" applyNumberFormat="1" applyFont="1" applyFill="1" applyBorder="1" applyAlignment="1" applyProtection="1">
      <alignment horizontal="right" indent="1"/>
      <protection hidden="1"/>
    </xf>
    <xf numFmtId="165" fontId="16" fillId="7" borderId="46" xfId="9" applyNumberFormat="1" applyFont="1" applyFill="1" applyBorder="1" applyAlignment="1" applyProtection="1">
      <alignment horizontal="right" indent="1"/>
      <protection hidden="1"/>
    </xf>
    <xf numFmtId="3" fontId="11" fillId="7" borderId="46" xfId="5" applyNumberFormat="1" applyFont="1" applyFill="1" applyBorder="1" applyAlignment="1" applyProtection="1">
      <alignment horizontal="right" indent="1"/>
      <protection hidden="1"/>
    </xf>
    <xf numFmtId="3" fontId="22" fillId="7" borderId="22" xfId="5" applyNumberFormat="1" applyFont="1" applyFill="1" applyBorder="1" applyAlignment="1" applyProtection="1">
      <alignment horizontal="right" indent="1"/>
      <protection hidden="1"/>
    </xf>
    <xf numFmtId="165" fontId="16" fillId="7" borderId="50" xfId="9" applyNumberFormat="1" applyFont="1" applyFill="1" applyBorder="1" applyAlignment="1" applyProtection="1">
      <alignment horizontal="right" indent="1"/>
      <protection hidden="1"/>
    </xf>
    <xf numFmtId="0" fontId="9" fillId="7" borderId="50" xfId="0" applyFont="1" applyFill="1" applyBorder="1" applyProtection="1">
      <protection hidden="1"/>
    </xf>
    <xf numFmtId="3" fontId="11" fillId="7" borderId="112" xfId="5" applyNumberFormat="1" applyFont="1" applyFill="1" applyBorder="1" applyAlignment="1" applyProtection="1">
      <alignment horizontal="right" indent="1"/>
      <protection hidden="1"/>
    </xf>
    <xf numFmtId="3" fontId="20" fillId="7" borderId="51" xfId="9" applyNumberFormat="1" applyFont="1" applyFill="1" applyBorder="1" applyAlignment="1" applyProtection="1">
      <alignment horizontal="right" vertical="center" indent="1"/>
      <protection hidden="1"/>
    </xf>
    <xf numFmtId="3" fontId="20" fillId="7" borderId="112" xfId="9" applyNumberFormat="1" applyFont="1" applyFill="1" applyBorder="1" applyAlignment="1" applyProtection="1">
      <alignment horizontal="right" vertical="center" indent="1"/>
      <protection hidden="1"/>
    </xf>
    <xf numFmtId="3" fontId="11" fillId="7" borderId="51" xfId="5" applyNumberFormat="1" applyFont="1" applyFill="1" applyBorder="1" applyAlignment="1" applyProtection="1">
      <alignment horizontal="right" indent="1"/>
      <protection hidden="1"/>
    </xf>
    <xf numFmtId="3" fontId="11" fillId="9" borderId="112" xfId="5" applyNumberFormat="1" applyFont="1" applyFill="1" applyBorder="1" applyAlignment="1" applyProtection="1">
      <alignment horizontal="right" indent="1"/>
      <protection hidden="1"/>
    </xf>
    <xf numFmtId="3" fontId="11" fillId="9" borderId="113" xfId="5" applyNumberFormat="1" applyFont="1" applyFill="1" applyBorder="1" applyAlignment="1" applyProtection="1">
      <alignment horizontal="right" indent="1"/>
      <protection hidden="1"/>
    </xf>
    <xf numFmtId="3" fontId="11" fillId="9" borderId="123" xfId="5" applyNumberFormat="1" applyFont="1" applyFill="1" applyBorder="1" applyAlignment="1" applyProtection="1">
      <alignment horizontal="right" indent="1"/>
      <protection hidden="1"/>
    </xf>
    <xf numFmtId="3" fontId="11" fillId="9" borderId="51" xfId="5" applyNumberFormat="1" applyFont="1" applyFill="1" applyBorder="1" applyAlignment="1" applyProtection="1">
      <alignment horizontal="right" indent="1"/>
      <protection hidden="1"/>
    </xf>
    <xf numFmtId="3" fontId="11" fillId="9" borderId="46" xfId="5" applyNumberFormat="1" applyFont="1" applyFill="1" applyBorder="1" applyAlignment="1" applyProtection="1">
      <alignment horizontal="right" indent="1"/>
      <protection hidden="1"/>
    </xf>
    <xf numFmtId="0" fontId="26" fillId="0" borderId="0" xfId="8" applyFont="1" applyProtection="1">
      <protection hidden="1"/>
    </xf>
    <xf numFmtId="3" fontId="11" fillId="29" borderId="103" xfId="5" applyNumberFormat="1" applyFont="1" applyFill="1" applyBorder="1" applyAlignment="1" applyProtection="1">
      <alignment horizontal="right" indent="1"/>
      <protection hidden="1"/>
    </xf>
    <xf numFmtId="0" fontId="9" fillId="0" borderId="0" xfId="0" applyFont="1" applyAlignment="1" applyProtection="1">
      <alignment horizontal="left" indent="1"/>
      <protection hidden="1"/>
    </xf>
    <xf numFmtId="3" fontId="11" fillId="29" borderId="104" xfId="5" applyNumberFormat="1" applyFont="1" applyFill="1" applyBorder="1" applyAlignment="1" applyProtection="1">
      <alignment horizontal="right" indent="1"/>
      <protection hidden="1"/>
    </xf>
    <xf numFmtId="3" fontId="11" fillId="29" borderId="107" xfId="5" applyNumberFormat="1" applyFont="1" applyFill="1" applyBorder="1" applyAlignment="1" applyProtection="1">
      <alignment horizontal="right" indent="1"/>
      <protection hidden="1"/>
    </xf>
    <xf numFmtId="3" fontId="20" fillId="10" borderId="14" xfId="9" applyNumberFormat="1" applyFont="1" applyFill="1" applyBorder="1" applyAlignment="1" applyProtection="1">
      <alignment horizontal="right" vertical="center" indent="1"/>
      <protection hidden="1"/>
    </xf>
    <xf numFmtId="3" fontId="11" fillId="9" borderId="126" xfId="5" applyNumberFormat="1" applyFont="1" applyFill="1" applyBorder="1" applyAlignment="1" applyProtection="1">
      <alignment horizontal="right" indent="1"/>
      <protection hidden="1"/>
    </xf>
    <xf numFmtId="3" fontId="11" fillId="9" borderId="127" xfId="5" applyNumberFormat="1" applyFont="1" applyFill="1" applyBorder="1" applyAlignment="1" applyProtection="1">
      <alignment horizontal="right" indent="1"/>
      <protection hidden="1"/>
    </xf>
    <xf numFmtId="3" fontId="11" fillId="7" borderId="126" xfId="5" applyNumberFormat="1" applyFont="1" applyFill="1" applyBorder="1" applyAlignment="1" applyProtection="1">
      <alignment horizontal="right" indent="1"/>
      <protection hidden="1"/>
    </xf>
    <xf numFmtId="0" fontId="9" fillId="7" borderId="0" xfId="0" applyFont="1" applyFill="1" applyProtection="1">
      <protection hidden="1"/>
    </xf>
    <xf numFmtId="3" fontId="20" fillId="0" borderId="0" xfId="0" applyNumberFormat="1" applyFont="1" applyProtection="1">
      <protection hidden="1"/>
    </xf>
    <xf numFmtId="0" fontId="20" fillId="0" borderId="0" xfId="0" applyFont="1" applyProtection="1">
      <protection hidden="1"/>
    </xf>
    <xf numFmtId="3" fontId="9" fillId="0" borderId="0" xfId="0" applyNumberFormat="1" applyFont="1" applyAlignment="1" applyProtection="1">
      <alignment horizontal="center"/>
      <protection hidden="1"/>
    </xf>
    <xf numFmtId="2" fontId="20" fillId="0" borderId="0" xfId="9" applyNumberFormat="1" applyFont="1" applyProtection="1">
      <protection hidden="1"/>
    </xf>
    <xf numFmtId="3" fontId="20" fillId="7" borderId="46" xfId="9" applyNumberFormat="1" applyFont="1" applyFill="1" applyBorder="1" applyAlignment="1" applyProtection="1">
      <alignment horizontal="right" vertical="center" indent="1"/>
      <protection hidden="1"/>
    </xf>
    <xf numFmtId="3" fontId="9" fillId="7" borderId="113" xfId="9" applyNumberFormat="1" applyFont="1" applyFill="1" applyBorder="1" applyAlignment="1" applyProtection="1">
      <alignment horizontal="right" vertical="center" indent="1"/>
      <protection hidden="1"/>
    </xf>
    <xf numFmtId="3" fontId="11" fillId="7" borderId="64" xfId="5" applyNumberFormat="1" applyFont="1" applyFill="1" applyBorder="1" applyAlignment="1" applyProtection="1">
      <alignment horizontal="right" indent="1"/>
      <protection hidden="1"/>
    </xf>
    <xf numFmtId="3" fontId="9" fillId="7" borderId="46" xfId="9" applyNumberFormat="1" applyFont="1" applyFill="1" applyBorder="1" applyAlignment="1" applyProtection="1">
      <alignment horizontal="right" vertical="center" indent="1"/>
      <protection hidden="1"/>
    </xf>
    <xf numFmtId="0" fontId="10" fillId="24" borderId="0" xfId="0" applyFont="1" applyFill="1" applyAlignment="1" applyProtection="1">
      <alignment horizontal="centerContinuous"/>
      <protection hidden="1"/>
    </xf>
    <xf numFmtId="0" fontId="10" fillId="17" borderId="129" xfId="0" applyFont="1" applyFill="1" applyBorder="1" applyAlignment="1" applyProtection="1">
      <alignment horizontal="center"/>
      <protection hidden="1"/>
    </xf>
    <xf numFmtId="0" fontId="10" fillId="24" borderId="115" xfId="0" applyFont="1" applyFill="1" applyBorder="1" applyAlignment="1" applyProtection="1">
      <alignment horizontal="center"/>
      <protection hidden="1"/>
    </xf>
    <xf numFmtId="0" fontId="10" fillId="24" borderId="116" xfId="0" applyFont="1" applyFill="1" applyBorder="1" applyAlignment="1" applyProtection="1">
      <alignment horizontal="center"/>
      <protection hidden="1"/>
    </xf>
    <xf numFmtId="0" fontId="10" fillId="24" borderId="117" xfId="0" applyFont="1" applyFill="1" applyBorder="1" applyAlignment="1" applyProtection="1">
      <alignment horizontal="center"/>
      <protection hidden="1"/>
    </xf>
    <xf numFmtId="173" fontId="10" fillId="17" borderId="128" xfId="0" applyNumberFormat="1" applyFont="1" applyFill="1" applyBorder="1" applyAlignment="1" applyProtection="1">
      <alignment horizontal="center"/>
      <protection hidden="1"/>
    </xf>
    <xf numFmtId="3" fontId="11" fillId="9" borderId="64" xfId="5" applyNumberFormat="1" applyFont="1" applyFill="1" applyBorder="1" applyAlignment="1" applyProtection="1">
      <alignment horizontal="right" indent="1"/>
      <protection hidden="1"/>
    </xf>
    <xf numFmtId="3" fontId="11" fillId="9" borderId="67" xfId="5" applyNumberFormat="1" applyFont="1" applyFill="1" applyBorder="1" applyAlignment="1" applyProtection="1">
      <alignment horizontal="right" indent="1"/>
      <protection hidden="1"/>
    </xf>
    <xf numFmtId="0" fontId="10" fillId="24" borderId="20" xfId="0" applyFont="1" applyFill="1" applyBorder="1" applyAlignment="1" applyProtection="1">
      <alignment horizontal="centerContinuous"/>
      <protection hidden="1"/>
    </xf>
    <xf numFmtId="0" fontId="18" fillId="0" borderId="0" xfId="0" applyFont="1" applyProtection="1">
      <protection hidden="1"/>
    </xf>
    <xf numFmtId="0" fontId="10" fillId="24" borderId="122" xfId="0" applyFont="1" applyFill="1" applyBorder="1" applyAlignment="1" applyProtection="1">
      <alignment horizontal="center"/>
      <protection hidden="1"/>
    </xf>
    <xf numFmtId="3" fontId="13" fillId="26" borderId="63" xfId="5" applyNumberFormat="1" applyFont="1" applyFill="1" applyBorder="1" applyAlignment="1" applyProtection="1">
      <alignment horizontal="right" indent="1"/>
      <protection hidden="1"/>
    </xf>
    <xf numFmtId="3" fontId="13" fillId="26" borderId="64" xfId="5" applyNumberFormat="1" applyFont="1" applyFill="1" applyBorder="1" applyAlignment="1" applyProtection="1">
      <alignment horizontal="right" indent="1"/>
      <protection hidden="1"/>
    </xf>
    <xf numFmtId="3" fontId="11" fillId="27" borderId="63" xfId="5" applyNumberFormat="1" applyFont="1" applyFill="1" applyBorder="1" applyAlignment="1" applyProtection="1">
      <alignment horizontal="right" indent="1"/>
      <protection hidden="1"/>
    </xf>
    <xf numFmtId="165" fontId="16" fillId="28" borderId="51" xfId="9" applyNumberFormat="1" applyFont="1" applyFill="1" applyBorder="1" applyAlignment="1" applyProtection="1">
      <alignment horizontal="right" indent="1"/>
      <protection hidden="1"/>
    </xf>
    <xf numFmtId="165" fontId="16" fillId="28" borderId="46" xfId="9" applyNumberFormat="1" applyFont="1" applyFill="1" applyBorder="1" applyAlignment="1" applyProtection="1">
      <alignment horizontal="right" indent="1"/>
      <protection hidden="1"/>
    </xf>
    <xf numFmtId="165" fontId="16" fillId="27" borderId="51" xfId="9" applyNumberFormat="1" applyFont="1" applyFill="1" applyBorder="1" applyAlignment="1" applyProtection="1">
      <alignment horizontal="right" indent="1"/>
      <protection hidden="1"/>
    </xf>
    <xf numFmtId="3" fontId="13" fillId="26" borderId="112" xfId="5" applyNumberFormat="1" applyFont="1" applyFill="1" applyBorder="1" applyAlignment="1" applyProtection="1">
      <alignment horizontal="right" indent="1"/>
      <protection hidden="1"/>
    </xf>
    <xf numFmtId="3" fontId="13" fillId="26" borderId="113" xfId="5" applyNumberFormat="1" applyFont="1" applyFill="1" applyBorder="1" applyAlignment="1" applyProtection="1">
      <alignment horizontal="right" indent="1"/>
      <protection hidden="1"/>
    </xf>
    <xf numFmtId="3" fontId="13" fillId="26" borderId="123" xfId="5" applyNumberFormat="1" applyFont="1" applyFill="1" applyBorder="1" applyAlignment="1" applyProtection="1">
      <alignment horizontal="right" indent="1"/>
      <protection hidden="1"/>
    </xf>
    <xf numFmtId="3" fontId="11" fillId="27" borderId="113" xfId="5" applyNumberFormat="1" applyFont="1" applyFill="1" applyBorder="1" applyAlignment="1" applyProtection="1">
      <alignment horizontal="right" indent="1"/>
      <protection hidden="1"/>
    </xf>
    <xf numFmtId="3" fontId="22" fillId="28" borderId="18" xfId="5" applyNumberFormat="1" applyFont="1" applyFill="1" applyBorder="1" applyAlignment="1" applyProtection="1">
      <alignment horizontal="right" indent="1"/>
      <protection hidden="1"/>
    </xf>
    <xf numFmtId="3" fontId="22" fillId="28" borderId="49" xfId="5" applyNumberFormat="1" applyFont="1" applyFill="1" applyBorder="1" applyAlignment="1" applyProtection="1">
      <alignment horizontal="right" indent="1"/>
      <protection hidden="1"/>
    </xf>
    <xf numFmtId="3" fontId="22" fillId="27" borderId="18" xfId="5" applyNumberFormat="1" applyFont="1" applyFill="1" applyBorder="1" applyAlignment="1" applyProtection="1">
      <alignment horizontal="right" indent="1"/>
      <protection hidden="1"/>
    </xf>
    <xf numFmtId="165" fontId="16" fillId="28" borderId="108" xfId="9" applyNumberFormat="1" applyFont="1" applyFill="1" applyBorder="1" applyAlignment="1" applyProtection="1">
      <alignment horizontal="right" indent="1"/>
      <protection hidden="1"/>
    </xf>
    <xf numFmtId="165" fontId="16" fillId="28" borderId="109" xfId="9" applyNumberFormat="1" applyFont="1" applyFill="1" applyBorder="1" applyAlignment="1" applyProtection="1">
      <alignment horizontal="right" indent="1"/>
      <protection hidden="1"/>
    </xf>
    <xf numFmtId="165" fontId="16" fillId="28" borderId="124" xfId="9" applyNumberFormat="1" applyFont="1" applyFill="1" applyBorder="1" applyAlignment="1" applyProtection="1">
      <alignment horizontal="right" indent="1"/>
      <protection hidden="1"/>
    </xf>
    <xf numFmtId="165" fontId="16" fillId="27" borderId="109" xfId="9" applyNumberFormat="1" applyFont="1" applyFill="1" applyBorder="1" applyAlignment="1" applyProtection="1">
      <alignment horizontal="right" indent="1"/>
      <protection hidden="1"/>
    </xf>
    <xf numFmtId="165" fontId="16" fillId="28" borderId="52" xfId="9" applyNumberFormat="1" applyFont="1" applyFill="1" applyBorder="1" applyAlignment="1" applyProtection="1">
      <alignment horizontal="right" indent="1"/>
      <protection hidden="1"/>
    </xf>
    <xf numFmtId="165" fontId="16" fillId="27" borderId="46" xfId="9" applyNumberFormat="1" applyFont="1" applyFill="1" applyBorder="1" applyAlignment="1" applyProtection="1">
      <alignment horizontal="right" indent="1"/>
      <protection hidden="1"/>
    </xf>
    <xf numFmtId="0" fontId="9" fillId="29" borderId="0" xfId="0" applyFont="1" applyFill="1" applyProtection="1">
      <protection hidden="1"/>
    </xf>
    <xf numFmtId="0" fontId="9" fillId="29" borderId="29" xfId="0" applyFont="1" applyFill="1" applyBorder="1" applyProtection="1">
      <protection hidden="1"/>
    </xf>
    <xf numFmtId="3" fontId="13" fillId="26" borderId="51" xfId="5" applyNumberFormat="1" applyFont="1" applyFill="1" applyBorder="1" applyAlignment="1" applyProtection="1">
      <alignment horizontal="right" indent="1"/>
      <protection hidden="1"/>
    </xf>
    <xf numFmtId="3" fontId="13" fillId="26" borderId="46" xfId="5" applyNumberFormat="1" applyFont="1" applyFill="1" applyBorder="1" applyAlignment="1" applyProtection="1">
      <alignment horizontal="right" indent="1"/>
      <protection hidden="1"/>
    </xf>
    <xf numFmtId="3" fontId="13" fillId="26" borderId="52" xfId="5" applyNumberFormat="1" applyFont="1" applyFill="1" applyBorder="1" applyAlignment="1" applyProtection="1">
      <alignment horizontal="right" indent="1"/>
      <protection hidden="1"/>
    </xf>
    <xf numFmtId="3" fontId="11" fillId="27" borderId="46" xfId="5" applyNumberFormat="1" applyFont="1" applyFill="1" applyBorder="1" applyAlignment="1" applyProtection="1">
      <alignment horizontal="right" indent="1"/>
      <protection hidden="1"/>
    </xf>
    <xf numFmtId="3" fontId="22" fillId="27" borderId="22" xfId="5" applyNumberFormat="1" applyFont="1" applyFill="1" applyBorder="1" applyAlignment="1" applyProtection="1">
      <alignment horizontal="right" indent="1"/>
      <protection hidden="1"/>
    </xf>
    <xf numFmtId="165" fontId="16" fillId="28" borderId="0" xfId="9" applyNumberFormat="1" applyFont="1" applyFill="1" applyBorder="1" applyAlignment="1" applyProtection="1">
      <alignment horizontal="right" indent="1"/>
      <protection hidden="1"/>
    </xf>
    <xf numFmtId="165" fontId="16" fillId="27" borderId="50" xfId="9" applyNumberFormat="1" applyFont="1" applyFill="1" applyBorder="1" applyAlignment="1" applyProtection="1">
      <alignment horizontal="right" indent="1"/>
      <protection hidden="1"/>
    </xf>
    <xf numFmtId="0" fontId="9" fillId="27" borderId="50" xfId="0" applyFont="1" applyFill="1" applyBorder="1" applyProtection="1">
      <protection hidden="1"/>
    </xf>
    <xf numFmtId="3" fontId="11" fillId="28" borderId="112" xfId="5" applyNumberFormat="1" applyFont="1" applyFill="1" applyBorder="1" applyAlignment="1" applyProtection="1">
      <alignment horizontal="right" indent="1"/>
      <protection hidden="1"/>
    </xf>
    <xf numFmtId="3" fontId="11" fillId="28" borderId="113" xfId="5" applyNumberFormat="1" applyFont="1" applyFill="1" applyBorder="1" applyAlignment="1" applyProtection="1">
      <alignment horizontal="right" indent="1"/>
      <protection hidden="1"/>
    </xf>
    <xf numFmtId="3" fontId="11" fillId="28" borderId="123" xfId="5" applyNumberFormat="1" applyFont="1" applyFill="1" applyBorder="1" applyAlignment="1" applyProtection="1">
      <alignment horizontal="right" indent="1"/>
      <protection hidden="1"/>
    </xf>
    <xf numFmtId="3" fontId="11" fillId="27" borderId="112" xfId="5" applyNumberFormat="1" applyFont="1" applyFill="1" applyBorder="1" applyAlignment="1" applyProtection="1">
      <alignment horizontal="right" indent="1"/>
      <protection hidden="1"/>
    </xf>
    <xf numFmtId="3" fontId="20" fillId="27" borderId="51" xfId="9" applyNumberFormat="1" applyFont="1" applyFill="1" applyBorder="1" applyAlignment="1" applyProtection="1">
      <alignment horizontal="right" vertical="center" indent="1"/>
      <protection hidden="1"/>
    </xf>
    <xf numFmtId="3" fontId="20" fillId="27" borderId="112" xfId="9" applyNumberFormat="1" applyFont="1" applyFill="1" applyBorder="1" applyAlignment="1" applyProtection="1">
      <alignment horizontal="right" vertical="center" indent="1"/>
      <protection hidden="1"/>
    </xf>
    <xf numFmtId="3" fontId="11" fillId="28" borderId="51" xfId="5" applyNumberFormat="1" applyFont="1" applyFill="1" applyBorder="1" applyAlignment="1" applyProtection="1">
      <alignment horizontal="right" indent="1"/>
      <protection hidden="1"/>
    </xf>
    <xf numFmtId="3" fontId="11" fillId="28" borderId="46" xfId="5" applyNumberFormat="1" applyFont="1" applyFill="1" applyBorder="1" applyAlignment="1" applyProtection="1">
      <alignment horizontal="right" indent="1"/>
      <protection hidden="1"/>
    </xf>
    <xf numFmtId="3" fontId="11" fillId="27" borderId="51" xfId="5" applyNumberFormat="1" applyFont="1" applyFill="1" applyBorder="1" applyAlignment="1" applyProtection="1">
      <alignment horizontal="right" indent="1"/>
      <protection hidden="1"/>
    </xf>
    <xf numFmtId="0" fontId="47" fillId="0" borderId="0" xfId="0" applyFont="1" applyProtection="1">
      <protection hidden="1"/>
    </xf>
    <xf numFmtId="3" fontId="11" fillId="28" borderId="64" xfId="5" applyNumberFormat="1" applyFont="1" applyFill="1" applyBorder="1" applyAlignment="1" applyProtection="1">
      <alignment horizontal="right" indent="1"/>
      <protection hidden="1"/>
    </xf>
    <xf numFmtId="3" fontId="11" fillId="28" borderId="67" xfId="5" applyNumberFormat="1" applyFont="1" applyFill="1" applyBorder="1" applyAlignment="1" applyProtection="1">
      <alignment horizontal="right" indent="1"/>
      <protection hidden="1"/>
    </xf>
    <xf numFmtId="3" fontId="11" fillId="27" borderId="64" xfId="5" applyNumberFormat="1" applyFont="1" applyFill="1" applyBorder="1" applyAlignment="1" applyProtection="1">
      <alignment horizontal="right" indent="1"/>
      <protection hidden="1"/>
    </xf>
    <xf numFmtId="0" fontId="9" fillId="27" borderId="0" xfId="0" applyFont="1" applyFill="1" applyProtection="1">
      <protection hidden="1"/>
    </xf>
    <xf numFmtId="3" fontId="9" fillId="27" borderId="46" xfId="9" applyNumberFormat="1" applyFont="1" applyFill="1" applyBorder="1" applyAlignment="1" applyProtection="1">
      <alignment horizontal="right" vertical="center" indent="1"/>
      <protection hidden="1"/>
    </xf>
    <xf numFmtId="3" fontId="9" fillId="27" borderId="113" xfId="9" applyNumberFormat="1" applyFont="1" applyFill="1" applyBorder="1" applyAlignment="1" applyProtection="1">
      <alignment horizontal="right" vertical="center" indent="1"/>
      <protection hidden="1"/>
    </xf>
    <xf numFmtId="3" fontId="11" fillId="28" borderId="126" xfId="5" applyNumberFormat="1" applyFont="1" applyFill="1" applyBorder="1" applyAlignment="1" applyProtection="1">
      <alignment horizontal="right" indent="1"/>
      <protection hidden="1"/>
    </xf>
    <xf numFmtId="3" fontId="11" fillId="28" borderId="127" xfId="5" applyNumberFormat="1" applyFont="1" applyFill="1" applyBorder="1" applyAlignment="1" applyProtection="1">
      <alignment horizontal="right" indent="1"/>
      <protection hidden="1"/>
    </xf>
    <xf numFmtId="3" fontId="11" fillId="27" borderId="126" xfId="5" applyNumberFormat="1" applyFont="1" applyFill="1" applyBorder="1" applyAlignment="1" applyProtection="1">
      <alignment horizontal="right" indent="1"/>
      <protection hidden="1"/>
    </xf>
    <xf numFmtId="0" fontId="18" fillId="0" borderId="36" xfId="0" applyFont="1" applyBorder="1" applyProtection="1">
      <protection hidden="1"/>
    </xf>
    <xf numFmtId="0" fontId="16" fillId="0" borderId="36" xfId="7" applyFont="1" applyBorder="1" applyProtection="1">
      <protection hidden="1"/>
    </xf>
    <xf numFmtId="0" fontId="9" fillId="0" borderId="36" xfId="0" applyFont="1" applyBorder="1" applyProtection="1">
      <protection hidden="1"/>
    </xf>
    <xf numFmtId="3" fontId="20" fillId="27" borderId="46" xfId="9" applyNumberFormat="1" applyFont="1" applyFill="1" applyBorder="1" applyAlignment="1" applyProtection="1">
      <alignment horizontal="right" vertical="center" indent="1"/>
      <protection hidden="1"/>
    </xf>
    <xf numFmtId="3" fontId="9" fillId="0" borderId="85" xfId="0" applyNumberFormat="1" applyFont="1" applyBorder="1" applyAlignment="1" applyProtection="1">
      <alignment horizontal="center"/>
      <protection hidden="1"/>
    </xf>
    <xf numFmtId="0" fontId="15" fillId="0" borderId="0" xfId="8" applyBorder="1" applyProtection="1">
      <protection hidden="1"/>
    </xf>
    <xf numFmtId="0" fontId="53" fillId="17" borderId="28" xfId="0" applyFont="1" applyFill="1" applyBorder="1" applyAlignment="1" applyProtection="1">
      <alignment horizontal="center"/>
      <protection hidden="1"/>
    </xf>
    <xf numFmtId="0" fontId="9" fillId="0" borderId="0" xfId="0" quotePrefix="1" applyFont="1" applyAlignment="1" applyProtection="1">
      <alignment horizontal="left" indent="1"/>
      <protection hidden="1"/>
    </xf>
    <xf numFmtId="3" fontId="11" fillId="0" borderId="0" xfId="5" applyNumberFormat="1" applyFont="1" applyFill="1" applyBorder="1" applyAlignment="1" applyProtection="1">
      <alignment horizontal="right" indent="1"/>
      <protection hidden="1"/>
    </xf>
    <xf numFmtId="3" fontId="11" fillId="28" borderId="130" xfId="5" applyNumberFormat="1" applyFont="1" applyFill="1" applyBorder="1" applyAlignment="1" applyProtection="1">
      <alignment horizontal="right" indent="1"/>
      <protection hidden="1"/>
    </xf>
    <xf numFmtId="3" fontId="11" fillId="28" borderId="131" xfId="5" applyNumberFormat="1" applyFont="1" applyFill="1" applyBorder="1" applyAlignment="1" applyProtection="1">
      <alignment horizontal="right" indent="1"/>
      <protection hidden="1"/>
    </xf>
    <xf numFmtId="3" fontId="11" fillId="27" borderId="130" xfId="5" applyNumberFormat="1" applyFont="1" applyFill="1" applyBorder="1" applyAlignment="1" applyProtection="1">
      <alignment horizontal="right" indent="1"/>
      <protection hidden="1"/>
    </xf>
    <xf numFmtId="3" fontId="22" fillId="0" borderId="119" xfId="5" applyNumberFormat="1" applyFont="1" applyFill="1" applyBorder="1" applyAlignment="1" applyProtection="1">
      <alignment horizontal="right" indent="1"/>
      <protection hidden="1"/>
    </xf>
    <xf numFmtId="3" fontId="22" fillId="0" borderId="118" xfId="5" applyNumberFormat="1" applyFont="1" applyFill="1" applyBorder="1" applyAlignment="1" applyProtection="1">
      <alignment horizontal="right" indent="1"/>
      <protection hidden="1"/>
    </xf>
    <xf numFmtId="3" fontId="22" fillId="28" borderId="132" xfId="5" applyNumberFormat="1" applyFont="1" applyFill="1" applyBorder="1" applyAlignment="1" applyProtection="1">
      <alignment horizontal="right" indent="1"/>
      <protection hidden="1"/>
    </xf>
    <xf numFmtId="3" fontId="22" fillId="28" borderId="133" xfId="5" applyNumberFormat="1" applyFont="1" applyFill="1" applyBorder="1" applyAlignment="1" applyProtection="1">
      <alignment horizontal="right" indent="1"/>
      <protection hidden="1"/>
    </xf>
    <xf numFmtId="3" fontId="22" fillId="27" borderId="132" xfId="5" applyNumberFormat="1" applyFont="1" applyFill="1" applyBorder="1" applyAlignment="1" applyProtection="1">
      <alignment horizontal="right" indent="1"/>
      <protection hidden="1"/>
    </xf>
    <xf numFmtId="0" fontId="9" fillId="0" borderId="0" xfId="0" quotePrefix="1" applyFont="1" applyProtection="1">
      <protection hidden="1"/>
    </xf>
    <xf numFmtId="3" fontId="22" fillId="0" borderId="0" xfId="5" applyNumberFormat="1" applyFont="1" applyFill="1" applyBorder="1" applyAlignment="1" applyProtection="1">
      <alignment horizontal="right" indent="1"/>
      <protection hidden="1"/>
    </xf>
    <xf numFmtId="0" fontId="27" fillId="0" borderId="18" xfId="7" applyFont="1" applyBorder="1" applyProtection="1">
      <protection hidden="1"/>
    </xf>
    <xf numFmtId="0" fontId="9" fillId="7" borderId="0" xfId="0" applyFont="1" applyFill="1" applyAlignment="1" applyProtection="1">
      <alignment horizontal="left" vertical="top" wrapText="1"/>
      <protection hidden="1"/>
    </xf>
    <xf numFmtId="0" fontId="9" fillId="7" borderId="0" xfId="0" applyFont="1" applyFill="1" applyAlignment="1" applyProtection="1">
      <alignment horizontal="left" vertical="top" wrapText="1"/>
      <protection hidden="1"/>
    </xf>
    <xf numFmtId="0" fontId="53" fillId="21" borderId="0" xfId="0" applyFont="1" applyFill="1" applyProtection="1">
      <protection hidden="1"/>
    </xf>
    <xf numFmtId="0" fontId="9" fillId="0" borderId="0" xfId="0" applyFont="1" applyAlignment="1" applyProtection="1">
      <alignment horizontal="left" vertical="top"/>
      <protection hidden="1"/>
    </xf>
    <xf numFmtId="0" fontId="20" fillId="0" borderId="0" xfId="0" applyFont="1" applyAlignment="1" applyProtection="1">
      <alignment horizontal="centerContinuous"/>
      <protection hidden="1"/>
    </xf>
    <xf numFmtId="0" fontId="9" fillId="7" borderId="0" xfId="0" applyFont="1" applyFill="1" applyAlignment="1" applyProtection="1">
      <alignment horizontal="center" vertical="center" wrapText="1"/>
      <protection hidden="1"/>
    </xf>
    <xf numFmtId="0" fontId="10" fillId="17" borderId="0" xfId="0" applyFont="1" applyFill="1" applyProtection="1">
      <protection hidden="1"/>
    </xf>
    <xf numFmtId="0" fontId="9" fillId="0" borderId="45" xfId="0" applyFont="1" applyBorder="1" applyAlignment="1" applyProtection="1">
      <alignment horizontal="left" vertical="top"/>
      <protection hidden="1"/>
    </xf>
    <xf numFmtId="0" fontId="9" fillId="0" borderId="45" xfId="0" applyFont="1" applyBorder="1" applyAlignment="1" applyProtection="1">
      <alignment horizontal="left" vertical="top" wrapText="1"/>
      <protection hidden="1"/>
    </xf>
    <xf numFmtId="0" fontId="23" fillId="7" borderId="0" xfId="0" applyFont="1" applyFill="1" applyAlignment="1" applyProtection="1">
      <alignment horizontal="center"/>
      <protection hidden="1"/>
    </xf>
    <xf numFmtId="0" fontId="9" fillId="9" borderId="0" xfId="0" applyFont="1" applyFill="1" applyProtection="1">
      <protection hidden="1"/>
    </xf>
    <xf numFmtId="0" fontId="9" fillId="18" borderId="0" xfId="0" applyFont="1" applyFill="1" applyProtection="1">
      <protection hidden="1"/>
    </xf>
    <xf numFmtId="0" fontId="32" fillId="7" borderId="0" xfId="0" applyFont="1" applyFill="1" applyProtection="1">
      <protection hidden="1"/>
    </xf>
    <xf numFmtId="0" fontId="52" fillId="7" borderId="0" xfId="0" applyFont="1" applyFill="1" applyProtection="1">
      <protection hidden="1"/>
    </xf>
    <xf numFmtId="14" fontId="9" fillId="7" borderId="0" xfId="0" applyNumberFormat="1" applyFont="1" applyFill="1" applyProtection="1">
      <protection hidden="1"/>
    </xf>
    <xf numFmtId="0" fontId="50" fillId="7" borderId="0" xfId="0" applyFont="1" applyFill="1" applyProtection="1">
      <protection hidden="1"/>
    </xf>
    <xf numFmtId="0" fontId="0" fillId="7" borderId="0" xfId="0" applyFill="1" applyProtection="1">
      <protection hidden="1"/>
    </xf>
    <xf numFmtId="0" fontId="9" fillId="7" borderId="0" xfId="0" applyFont="1" applyFill="1" applyAlignment="1" applyProtection="1">
      <alignment vertical="top"/>
      <protection hidden="1"/>
    </xf>
    <xf numFmtId="0" fontId="58" fillId="7" borderId="0" xfId="0" applyFont="1" applyFill="1" applyAlignment="1" applyProtection="1">
      <alignment vertical="top"/>
      <protection hidden="1"/>
    </xf>
    <xf numFmtId="0" fontId="58" fillId="7" borderId="0" xfId="0" applyFont="1" applyFill="1" applyAlignment="1" applyProtection="1">
      <alignment horizontal="right" vertical="top"/>
      <protection hidden="1"/>
    </xf>
    <xf numFmtId="14" fontId="58" fillId="7" borderId="0" xfId="0" applyNumberFormat="1" applyFont="1" applyFill="1" applyAlignment="1" applyProtection="1">
      <alignment vertical="top"/>
      <protection hidden="1"/>
    </xf>
    <xf numFmtId="0" fontId="82" fillId="7" borderId="18" xfId="0" applyFont="1" applyFill="1" applyBorder="1" applyAlignment="1" applyProtection="1">
      <alignment horizontal="left" vertical="top" wrapText="1"/>
      <protection hidden="1"/>
    </xf>
    <xf numFmtId="0" fontId="34" fillId="2" borderId="0" xfId="1" applyFont="1" applyProtection="1">
      <protection hidden="1"/>
    </xf>
    <xf numFmtId="0" fontId="35" fillId="0" borderId="0" xfId="0" applyFont="1" applyProtection="1">
      <protection hidden="1"/>
    </xf>
    <xf numFmtId="0" fontId="36" fillId="3" borderId="1" xfId="2" applyFont="1" applyProtection="1">
      <protection hidden="1"/>
    </xf>
    <xf numFmtId="0" fontId="11" fillId="17" borderId="0" xfId="0" applyFont="1" applyFill="1" applyProtection="1">
      <protection hidden="1"/>
    </xf>
    <xf numFmtId="0" fontId="55" fillId="0" borderId="0" xfId="0" applyFont="1" applyProtection="1">
      <protection hidden="1"/>
    </xf>
    <xf numFmtId="14" fontId="9" fillId="0" borderId="0" xfId="0" applyNumberFormat="1" applyFont="1" applyAlignment="1" applyProtection="1">
      <alignment horizontal="right" indent="1"/>
      <protection hidden="1"/>
    </xf>
    <xf numFmtId="0" fontId="10" fillId="17" borderId="0" xfId="0" quotePrefix="1" applyFont="1" applyFill="1" applyAlignment="1" applyProtection="1">
      <alignment horizontal="center" vertical="center" textRotation="90"/>
      <protection hidden="1"/>
    </xf>
    <xf numFmtId="166" fontId="54" fillId="0" borderId="0" xfId="0" applyNumberFormat="1" applyFont="1" applyAlignment="1" applyProtection="1">
      <alignment horizontal="left" indent="1"/>
      <protection hidden="1"/>
    </xf>
    <xf numFmtId="0" fontId="9" fillId="7" borderId="88" xfId="0" applyFont="1" applyFill="1" applyBorder="1" applyAlignment="1" applyProtection="1">
      <alignment horizontal="left" vertical="top" wrapText="1"/>
      <protection hidden="1"/>
    </xf>
    <xf numFmtId="0" fontId="9" fillId="7" borderId="89" xfId="0" applyFont="1" applyFill="1" applyBorder="1" applyAlignment="1" applyProtection="1">
      <alignment horizontal="left" vertical="top" wrapText="1"/>
      <protection hidden="1"/>
    </xf>
    <xf numFmtId="0" fontId="9" fillId="7" borderId="89" xfId="0" applyFont="1" applyFill="1" applyBorder="1" applyAlignment="1" applyProtection="1">
      <alignment vertical="top" wrapText="1"/>
      <protection hidden="1"/>
    </xf>
    <xf numFmtId="0" fontId="9" fillId="7" borderId="90" xfId="0" applyFont="1" applyFill="1" applyBorder="1" applyAlignment="1" applyProtection="1">
      <alignment horizontal="left" vertical="top" wrapText="1"/>
      <protection hidden="1"/>
    </xf>
    <xf numFmtId="0" fontId="9" fillId="7" borderId="91" xfId="0" applyFont="1" applyFill="1" applyBorder="1" applyAlignment="1" applyProtection="1">
      <alignment horizontal="left" vertical="top" wrapText="1"/>
      <protection hidden="1"/>
    </xf>
    <xf numFmtId="0" fontId="9" fillId="7" borderId="0" xfId="0" applyFont="1" applyFill="1" applyAlignment="1" applyProtection="1">
      <alignment vertical="top" wrapText="1"/>
      <protection hidden="1"/>
    </xf>
    <xf numFmtId="0" fontId="9" fillId="7" borderId="92" xfId="0" applyFont="1" applyFill="1" applyBorder="1" applyAlignment="1" applyProtection="1">
      <alignment horizontal="left" vertical="top" wrapText="1"/>
      <protection hidden="1"/>
    </xf>
    <xf numFmtId="171" fontId="49" fillId="0" borderId="0" xfId="0" applyNumberFormat="1" applyFont="1" applyAlignment="1" applyProtection="1">
      <alignment horizontal="left" indent="1"/>
      <protection hidden="1"/>
    </xf>
    <xf numFmtId="0" fontId="41" fillId="0" borderId="0" xfId="0" applyFont="1" applyProtection="1">
      <protection hidden="1"/>
    </xf>
    <xf numFmtId="171" fontId="62" fillId="0" borderId="0" xfId="0" applyNumberFormat="1" applyFont="1" applyAlignment="1" applyProtection="1">
      <alignment horizontal="left" indent="1"/>
      <protection hidden="1"/>
    </xf>
    <xf numFmtId="0" fontId="59" fillId="0" borderId="0" xfId="0" applyFont="1" applyProtection="1">
      <protection hidden="1"/>
    </xf>
    <xf numFmtId="166" fontId="62" fillId="0" borderId="0" xfId="0" applyNumberFormat="1" applyFont="1" applyAlignment="1" applyProtection="1">
      <alignment horizontal="left" indent="1"/>
      <protection hidden="1"/>
    </xf>
    <xf numFmtId="176" fontId="60" fillId="0" borderId="0" xfId="0" applyNumberFormat="1" applyFont="1" applyAlignment="1" applyProtection="1">
      <alignment horizontal="left"/>
      <protection hidden="1"/>
    </xf>
    <xf numFmtId="0" fontId="9" fillId="7" borderId="100" xfId="0" applyFont="1" applyFill="1" applyBorder="1" applyAlignment="1" applyProtection="1">
      <alignment horizontal="left" vertical="top" wrapText="1"/>
      <protection hidden="1"/>
    </xf>
    <xf numFmtId="0" fontId="9" fillId="7" borderId="101" xfId="0" applyFont="1" applyFill="1" applyBorder="1" applyAlignment="1" applyProtection="1">
      <alignment horizontal="left" vertical="top" wrapText="1"/>
      <protection hidden="1"/>
    </xf>
    <xf numFmtId="0" fontId="9" fillId="7" borderId="101" xfId="0" applyFont="1" applyFill="1" applyBorder="1" applyAlignment="1" applyProtection="1">
      <alignment vertical="top" wrapText="1"/>
      <protection hidden="1"/>
    </xf>
    <xf numFmtId="0" fontId="9" fillId="7" borderId="102" xfId="0" applyFont="1" applyFill="1" applyBorder="1" applyAlignment="1" applyProtection="1">
      <alignment horizontal="left" vertical="top" wrapText="1"/>
      <protection hidden="1"/>
    </xf>
    <xf numFmtId="176" fontId="60" fillId="0" borderId="0" xfId="0" applyNumberFormat="1" applyFont="1" applyAlignment="1" applyProtection="1">
      <alignment horizontal="left" indent="1"/>
      <protection hidden="1"/>
    </xf>
    <xf numFmtId="0" fontId="9" fillId="0" borderId="0" xfId="0" applyFont="1" applyAlignment="1" applyProtection="1">
      <alignment horizontal="left" vertical="top" wrapText="1"/>
      <protection hidden="1"/>
    </xf>
    <xf numFmtId="0" fontId="9" fillId="0" borderId="0" xfId="0" applyFont="1" applyAlignment="1" applyProtection="1">
      <alignment vertical="top" wrapText="1"/>
      <protection hidden="1"/>
    </xf>
    <xf numFmtId="0" fontId="39" fillId="17" borderId="0" xfId="0" applyFont="1" applyFill="1" applyProtection="1">
      <protection hidden="1"/>
    </xf>
    <xf numFmtId="0" fontId="35" fillId="17" borderId="0" xfId="0" applyFont="1" applyFill="1" applyProtection="1">
      <protection hidden="1"/>
    </xf>
    <xf numFmtId="0" fontId="40" fillId="17" borderId="0" xfId="0" applyFont="1" applyFill="1" applyProtection="1">
      <protection hidden="1"/>
    </xf>
    <xf numFmtId="3" fontId="39" fillId="17" borderId="0" xfId="0" applyNumberFormat="1" applyFont="1" applyFill="1" applyAlignment="1" applyProtection="1">
      <alignment horizontal="right" indent="1"/>
      <protection hidden="1"/>
    </xf>
    <xf numFmtId="169" fontId="9" fillId="0" borderId="0" xfId="0" applyNumberFormat="1" applyFont="1" applyAlignment="1" applyProtection="1">
      <alignment horizontal="right" indent="1"/>
      <protection hidden="1"/>
    </xf>
    <xf numFmtId="0" fontId="49" fillId="0" borderId="0" xfId="0" applyFont="1" applyProtection="1">
      <protection hidden="1"/>
    </xf>
    <xf numFmtId="0" fontId="9" fillId="0" borderId="0" xfId="0" applyFont="1" applyAlignment="1" applyProtection="1">
      <alignment horizontal="left" wrapText="1"/>
      <protection hidden="1"/>
    </xf>
    <xf numFmtId="0" fontId="9" fillId="0" borderId="19" xfId="0" applyFont="1" applyBorder="1" applyAlignment="1" applyProtection="1">
      <alignment horizontal="left" wrapText="1"/>
      <protection hidden="1"/>
    </xf>
    <xf numFmtId="3" fontId="10" fillId="0" borderId="54" xfId="5" applyNumberFormat="1" applyFont="1" applyFill="1" applyBorder="1" applyAlignment="1" applyProtection="1">
      <alignment horizontal="right" indent="1"/>
      <protection hidden="1"/>
    </xf>
    <xf numFmtId="10" fontId="9" fillId="0" borderId="72" xfId="0" applyNumberFormat="1" applyFont="1" applyBorder="1" applyAlignment="1" applyProtection="1">
      <alignment horizontal="right" indent="1"/>
      <protection hidden="1"/>
    </xf>
    <xf numFmtId="10" fontId="9" fillId="0" borderId="73" xfId="0" applyNumberFormat="1" applyFont="1" applyBorder="1" applyAlignment="1" applyProtection="1">
      <alignment horizontal="right" indent="1"/>
      <protection hidden="1"/>
    </xf>
    <xf numFmtId="10" fontId="9" fillId="0" borderId="57" xfId="0" applyNumberFormat="1" applyFont="1" applyBorder="1" applyAlignment="1" applyProtection="1">
      <alignment horizontal="right" indent="1"/>
      <protection hidden="1"/>
    </xf>
    <xf numFmtId="3" fontId="11" fillId="0" borderId="50" xfId="0" applyNumberFormat="1" applyFont="1" applyBorder="1" applyAlignment="1" applyProtection="1">
      <alignment horizontal="right" indent="1"/>
      <protection hidden="1"/>
    </xf>
    <xf numFmtId="3" fontId="11" fillId="0" borderId="0" xfId="0" applyNumberFormat="1" applyFont="1" applyAlignment="1" applyProtection="1">
      <alignment horizontal="right" indent="1"/>
      <protection hidden="1"/>
    </xf>
    <xf numFmtId="3" fontId="11" fillId="0" borderId="29" xfId="0" applyNumberFormat="1" applyFont="1" applyBorder="1" applyAlignment="1" applyProtection="1">
      <alignment horizontal="right" indent="1"/>
      <protection hidden="1"/>
    </xf>
    <xf numFmtId="10" fontId="9" fillId="0" borderId="41" xfId="0" applyNumberFormat="1" applyFont="1" applyBorder="1" applyAlignment="1" applyProtection="1">
      <alignment horizontal="right" indent="1"/>
      <protection hidden="1"/>
    </xf>
    <xf numFmtId="10" fontId="9" fillId="0" borderId="40" xfId="0" applyNumberFormat="1" applyFont="1" applyBorder="1" applyAlignment="1" applyProtection="1">
      <alignment horizontal="right" indent="1"/>
      <protection hidden="1"/>
    </xf>
    <xf numFmtId="3" fontId="11" fillId="0" borderId="35" xfId="0" applyNumberFormat="1" applyFont="1" applyBorder="1" applyAlignment="1" applyProtection="1">
      <alignment horizontal="right" indent="1"/>
      <protection hidden="1"/>
    </xf>
    <xf numFmtId="3" fontId="11" fillId="0" borderId="19" xfId="0" applyNumberFormat="1" applyFont="1" applyBorder="1" applyAlignment="1" applyProtection="1">
      <alignment horizontal="right" indent="1"/>
      <protection hidden="1"/>
    </xf>
    <xf numFmtId="3" fontId="11" fillId="0" borderId="28" xfId="0" applyNumberFormat="1" applyFont="1" applyBorder="1" applyAlignment="1" applyProtection="1">
      <alignment horizontal="right" indent="1"/>
      <protection hidden="1"/>
    </xf>
    <xf numFmtId="0" fontId="72" fillId="0" borderId="0" xfId="0" applyFont="1" applyProtection="1">
      <protection hidden="1"/>
    </xf>
    <xf numFmtId="0" fontId="15" fillId="0" borderId="99" xfId="8" applyBorder="1" applyProtection="1">
      <protection hidden="1"/>
    </xf>
    <xf numFmtId="0" fontId="9" fillId="0" borderId="99" xfId="0" applyFont="1" applyBorder="1" applyProtection="1">
      <protection hidden="1"/>
    </xf>
    <xf numFmtId="0" fontId="9" fillId="0" borderId="98" xfId="0" applyFont="1" applyBorder="1" applyProtection="1">
      <protection hidden="1"/>
    </xf>
    <xf numFmtId="0" fontId="17" fillId="0" borderId="98" xfId="0" applyFont="1" applyBorder="1" applyProtection="1">
      <protection hidden="1"/>
    </xf>
    <xf numFmtId="0" fontId="17" fillId="0" borderId="98" xfId="0" applyFont="1" applyBorder="1" applyAlignment="1" applyProtection="1">
      <alignment wrapText="1"/>
      <protection hidden="1"/>
    </xf>
    <xf numFmtId="0" fontId="18" fillId="0" borderId="98" xfId="0" applyFont="1" applyBorder="1" applyProtection="1">
      <protection hidden="1"/>
    </xf>
    <xf numFmtId="0" fontId="79" fillId="0" borderId="0" xfId="0" applyFont="1" applyProtection="1">
      <protection hidden="1"/>
    </xf>
    <xf numFmtId="166" fontId="80" fillId="0" borderId="0" xfId="0" applyNumberFormat="1" applyFont="1" applyAlignment="1" applyProtection="1">
      <alignment horizontal="left" indent="1"/>
      <protection hidden="1"/>
    </xf>
    <xf numFmtId="0" fontId="60" fillId="0" borderId="0" xfId="0" applyFont="1" applyProtection="1">
      <protection hidden="1"/>
    </xf>
    <xf numFmtId="171" fontId="81" fillId="0" borderId="0" xfId="0" applyNumberFormat="1" applyFont="1" applyAlignment="1" applyProtection="1">
      <alignment horizontal="left" indent="1"/>
      <protection hidden="1"/>
    </xf>
    <xf numFmtId="0" fontId="9" fillId="15" borderId="0" xfId="0" applyFont="1" applyFill="1" applyProtection="1">
      <protection hidden="1"/>
    </xf>
    <xf numFmtId="0" fontId="10" fillId="17" borderId="13" xfId="0" applyFont="1" applyFill="1" applyBorder="1" applyAlignment="1" applyProtection="1">
      <alignment horizontal="center"/>
      <protection hidden="1"/>
    </xf>
    <xf numFmtId="0" fontId="18" fillId="15" borderId="9" xfId="0" applyFont="1" applyFill="1" applyBorder="1" applyAlignment="1" applyProtection="1">
      <alignment horizontal="center"/>
      <protection hidden="1"/>
    </xf>
    <xf numFmtId="0" fontId="10" fillId="17" borderId="6" xfId="0" applyFont="1" applyFill="1" applyBorder="1" applyAlignment="1" applyProtection="1">
      <alignment horizontal="center"/>
      <protection hidden="1"/>
    </xf>
    <xf numFmtId="0" fontId="9" fillId="0" borderId="18" xfId="0" applyFont="1" applyBorder="1" applyProtection="1">
      <protection hidden="1"/>
    </xf>
    <xf numFmtId="0" fontId="15" fillId="0" borderId="0" xfId="8" applyAlignment="1" applyProtection="1">
      <alignment vertical="top"/>
      <protection hidden="1"/>
    </xf>
    <xf numFmtId="0" fontId="9" fillId="0" borderId="0" xfId="0" applyFont="1" applyAlignment="1" applyProtection="1">
      <alignment wrapText="1"/>
      <protection hidden="1"/>
    </xf>
    <xf numFmtId="0" fontId="9" fillId="19" borderId="71" xfId="0" applyFont="1" applyFill="1" applyBorder="1" applyProtection="1">
      <protection hidden="1"/>
    </xf>
    <xf numFmtId="0" fontId="9" fillId="19" borderId="24" xfId="0" applyFont="1" applyFill="1" applyBorder="1" applyProtection="1">
      <protection hidden="1"/>
    </xf>
    <xf numFmtId="0" fontId="9" fillId="0" borderId="34" xfId="0" applyFont="1" applyBorder="1" applyProtection="1">
      <protection hidden="1"/>
    </xf>
    <xf numFmtId="0" fontId="16" fillId="0" borderId="34" xfId="7" applyFont="1" applyBorder="1" applyProtection="1">
      <protection hidden="1"/>
    </xf>
    <xf numFmtId="3" fontId="11" fillId="9" borderId="23" xfId="5" applyNumberFormat="1" applyFont="1" applyFill="1" applyBorder="1" applyAlignment="1" applyProtection="1">
      <alignment horizontal="right" indent="1"/>
      <protection hidden="1"/>
    </xf>
    <xf numFmtId="3" fontId="22" fillId="9" borderId="23" xfId="5" applyNumberFormat="1" applyFont="1" applyFill="1" applyBorder="1" applyAlignment="1" applyProtection="1">
      <alignment horizontal="right" vertical="center"/>
      <protection hidden="1"/>
    </xf>
    <xf numFmtId="3" fontId="18" fillId="0" borderId="0" xfId="0" applyNumberFormat="1" applyFont="1" applyAlignment="1" applyProtection="1">
      <alignment vertical="center"/>
      <protection hidden="1"/>
    </xf>
    <xf numFmtId="3" fontId="18" fillId="0" borderId="20" xfId="0" applyNumberFormat="1" applyFont="1" applyBorder="1" applyAlignment="1" applyProtection="1">
      <alignment vertical="center"/>
      <protection hidden="1"/>
    </xf>
    <xf numFmtId="3" fontId="9" fillId="0" borderId="0" xfId="0" applyNumberFormat="1" applyFont="1" applyAlignment="1" applyProtection="1">
      <alignment vertical="center"/>
      <protection hidden="1"/>
    </xf>
    <xf numFmtId="3" fontId="9" fillId="0" borderId="20" xfId="0" applyNumberFormat="1" applyFont="1" applyBorder="1" applyAlignment="1" applyProtection="1">
      <alignment vertical="center"/>
      <protection hidden="1"/>
    </xf>
    <xf numFmtId="3" fontId="18" fillId="0" borderId="18" xfId="0" applyNumberFormat="1" applyFont="1" applyBorder="1" applyAlignment="1" applyProtection="1">
      <alignment vertical="center"/>
      <protection hidden="1"/>
    </xf>
    <xf numFmtId="3" fontId="18" fillId="0" borderId="70" xfId="0" applyNumberFormat="1" applyFont="1" applyBorder="1" applyAlignment="1" applyProtection="1">
      <alignment vertical="center"/>
      <protection hidden="1"/>
    </xf>
    <xf numFmtId="3" fontId="9" fillId="0" borderId="18" xfId="0" applyNumberFormat="1" applyFont="1" applyBorder="1" applyAlignment="1" applyProtection="1">
      <alignment vertical="center"/>
      <protection hidden="1"/>
    </xf>
    <xf numFmtId="165" fontId="9" fillId="0" borderId="0" xfId="0" applyNumberFormat="1" applyFont="1" applyAlignment="1" applyProtection="1">
      <alignment horizontal="center"/>
      <protection hidden="1"/>
    </xf>
    <xf numFmtId="0" fontId="9" fillId="0" borderId="0" xfId="0" applyFont="1" applyAlignment="1" applyProtection="1">
      <alignment vertical="center"/>
      <protection hidden="1"/>
    </xf>
    <xf numFmtId="2" fontId="9" fillId="0" borderId="0" xfId="0" applyNumberFormat="1" applyFont="1" applyAlignment="1" applyProtection="1">
      <alignment vertical="center"/>
      <protection hidden="1"/>
    </xf>
    <xf numFmtId="0" fontId="18" fillId="0" borderId="18" xfId="0" applyFont="1" applyBorder="1" applyAlignment="1" applyProtection="1">
      <alignment vertical="center"/>
      <protection hidden="1"/>
    </xf>
    <xf numFmtId="3" fontId="9" fillId="0" borderId="34" xfId="0" applyNumberFormat="1" applyFont="1" applyBorder="1" applyAlignment="1" applyProtection="1">
      <alignment vertical="center"/>
      <protection hidden="1"/>
    </xf>
    <xf numFmtId="3" fontId="18" fillId="0" borderId="34" xfId="0" applyNumberFormat="1" applyFont="1" applyBorder="1" applyAlignment="1" applyProtection="1">
      <alignment vertical="center"/>
      <protection hidden="1"/>
    </xf>
    <xf numFmtId="165" fontId="9" fillId="0" borderId="0" xfId="0" applyNumberFormat="1" applyFont="1" applyAlignment="1" applyProtection="1">
      <alignment vertical="center"/>
      <protection hidden="1"/>
    </xf>
    <xf numFmtId="0" fontId="11" fillId="0" borderId="23" xfId="9" applyNumberFormat="1" applyFont="1" applyFill="1" applyBorder="1" applyAlignment="1" applyProtection="1">
      <alignment horizontal="right" indent="1"/>
      <protection hidden="1"/>
    </xf>
    <xf numFmtId="10" fontId="11" fillId="0" borderId="23" xfId="9" applyNumberFormat="1" applyFont="1" applyFill="1" applyBorder="1" applyAlignment="1" applyProtection="1">
      <alignment horizontal="right" indent="1"/>
      <protection hidden="1"/>
    </xf>
    <xf numFmtId="0" fontId="66" fillId="7" borderId="0" xfId="0" applyFont="1" applyFill="1" applyAlignment="1" applyProtection="1">
      <alignment horizontal="left" vertical="top" wrapText="1"/>
      <protection hidden="1"/>
    </xf>
    <xf numFmtId="0" fontId="66" fillId="7" borderId="0" xfId="0" applyFont="1" applyFill="1" applyAlignment="1" applyProtection="1">
      <alignment horizontal="left" vertical="top"/>
      <protection hidden="1"/>
    </xf>
    <xf numFmtId="0" fontId="29" fillId="7" borderId="0" xfId="11" applyFill="1" applyProtection="1">
      <protection hidden="1"/>
    </xf>
    <xf numFmtId="0" fontId="83" fillId="7" borderId="18" xfId="0" applyFont="1" applyFill="1" applyBorder="1" applyAlignment="1" applyProtection="1">
      <alignment horizontal="left" vertical="top" wrapText="1"/>
      <protection hidden="1"/>
    </xf>
    <xf numFmtId="0" fontId="51" fillId="9" borderId="4" xfId="6" applyFont="1" applyFill="1" applyAlignment="1" applyProtection="1">
      <alignment horizontal="center" vertical="center"/>
      <protection locked="0"/>
      <extLst>
        <ext xmlns:xfpb="http://schemas.microsoft.com/office/spreadsheetml/2022/featurepropertybag" uri="{C7286773-470A-42A8-94C5-96B5CB345126}">
          <xfpb:xfComplement i="0"/>
        </ext>
      </extLst>
    </xf>
    <xf numFmtId="164" fontId="13" fillId="6" borderId="5" xfId="5" applyFont="1" applyFill="1" applyBorder="1" applyAlignment="1" applyProtection="1">
      <alignment horizontal="left"/>
      <protection hidden="1"/>
    </xf>
    <xf numFmtId="164" fontId="30" fillId="6" borderId="5" xfId="11" applyNumberFormat="1" applyFont="1" applyFill="1" applyBorder="1" applyAlignment="1" applyProtection="1">
      <alignment horizontal="left"/>
      <protection hidden="1"/>
    </xf>
    <xf numFmtId="15" fontId="13" fillId="6" borderId="4" xfId="6" applyNumberFormat="1" applyFont="1" applyFill="1" applyAlignment="1" applyProtection="1">
      <alignment horizontal="left" indent="1"/>
      <protection hidden="1"/>
    </xf>
    <xf numFmtId="172" fontId="13" fillId="6" borderId="4" xfId="6" applyNumberFormat="1" applyFont="1" applyFill="1" applyAlignment="1" applyProtection="1">
      <alignment horizontal="left" indent="1"/>
      <protection hidden="1"/>
    </xf>
    <xf numFmtId="3" fontId="13" fillId="6" borderId="119" xfId="5" applyNumberFormat="1" applyFont="1" applyFill="1" applyBorder="1" applyAlignment="1" applyProtection="1">
      <alignment horizontal="right" indent="1"/>
      <protection hidden="1"/>
    </xf>
    <xf numFmtId="3" fontId="13" fillId="6" borderId="110" xfId="5" applyNumberFormat="1" applyFont="1" applyFill="1" applyBorder="1" applyAlignment="1" applyProtection="1">
      <alignment horizontal="right" indent="1"/>
      <protection hidden="1"/>
    </xf>
    <xf numFmtId="3" fontId="13" fillId="6" borderId="111" xfId="5" applyNumberFormat="1" applyFont="1" applyFill="1" applyBorder="1" applyAlignment="1" applyProtection="1">
      <alignment horizontal="right" indent="1"/>
      <protection hidden="1"/>
    </xf>
    <xf numFmtId="3" fontId="13" fillId="6" borderId="103" xfId="5" applyNumberFormat="1" applyFont="1" applyFill="1" applyBorder="1" applyAlignment="1" applyProtection="1">
      <alignment horizontal="right" indent="1"/>
      <protection hidden="1"/>
    </xf>
    <xf numFmtId="3" fontId="13" fillId="6" borderId="104" xfId="5" applyNumberFormat="1" applyFont="1" applyFill="1" applyBorder="1" applyAlignment="1" applyProtection="1">
      <alignment horizontal="right" indent="1"/>
      <protection hidden="1"/>
    </xf>
    <xf numFmtId="3" fontId="13" fillId="6" borderId="0" xfId="5" applyNumberFormat="1" applyFont="1" applyFill="1" applyBorder="1" applyAlignment="1" applyProtection="1">
      <alignment horizontal="right" indent="1"/>
      <protection hidden="1"/>
    </xf>
    <xf numFmtId="3" fontId="13" fillId="6" borderId="29" xfId="5" applyNumberFormat="1" applyFont="1" applyFill="1" applyBorder="1" applyAlignment="1" applyProtection="1">
      <alignment horizontal="right" indent="1"/>
      <protection hidden="1"/>
    </xf>
    <xf numFmtId="3" fontId="13" fillId="6" borderId="106" xfId="5" applyNumberFormat="1" applyFont="1" applyFill="1" applyBorder="1" applyAlignment="1" applyProtection="1">
      <alignment horizontal="right" indent="1"/>
      <protection hidden="1"/>
    </xf>
    <xf numFmtId="3" fontId="13" fillId="6" borderId="107" xfId="5" applyNumberFormat="1" applyFont="1" applyFill="1" applyBorder="1" applyAlignment="1" applyProtection="1">
      <alignment horizontal="right" indent="1"/>
      <protection hidden="1"/>
    </xf>
    <xf numFmtId="3" fontId="13" fillId="6" borderId="105" xfId="5" applyNumberFormat="1" applyFont="1" applyFill="1" applyBorder="1" applyAlignment="1" applyProtection="1">
      <alignment horizontal="right" indent="1"/>
      <protection hidden="1"/>
    </xf>
    <xf numFmtId="3" fontId="13" fillId="6" borderId="121" xfId="5" applyNumberFormat="1" applyFont="1" applyFill="1" applyBorder="1" applyAlignment="1" applyProtection="1">
      <alignment horizontal="right" indent="1"/>
      <protection hidden="1"/>
    </xf>
    <xf numFmtId="0" fontId="13" fillId="6" borderId="2" xfId="0" applyFont="1" applyFill="1" applyBorder="1" applyProtection="1">
      <protection hidden="1"/>
    </xf>
    <xf numFmtId="3" fontId="13" fillId="6" borderId="5" xfId="5" applyNumberFormat="1" applyFont="1" applyFill="1" applyBorder="1" applyAlignment="1" applyProtection="1">
      <alignment horizontal="right" indent="1"/>
      <protection hidden="1"/>
    </xf>
    <xf numFmtId="9" fontId="13" fillId="6" borderId="5" xfId="9" applyFont="1" applyFill="1" applyBorder="1" applyAlignment="1" applyProtection="1">
      <alignment horizontal="right" indent="1"/>
      <protection hidden="1"/>
    </xf>
    <xf numFmtId="165" fontId="13" fillId="6" borderId="5" xfId="9" applyNumberFormat="1" applyFont="1" applyFill="1" applyBorder="1" applyAlignment="1" applyProtection="1">
      <alignment horizontal="right" indent="1"/>
      <protection hidden="1"/>
    </xf>
    <xf numFmtId="0" fontId="9" fillId="22" borderId="0" xfId="0" applyFont="1" applyFill="1" applyProtection="1">
      <protection hidden="1"/>
    </xf>
    <xf numFmtId="3" fontId="13" fillId="6" borderId="63" xfId="5" applyNumberFormat="1" applyFont="1" applyFill="1" applyBorder="1" applyAlignment="1" applyProtection="1">
      <alignment horizontal="right" indent="1"/>
      <protection hidden="1"/>
    </xf>
    <xf numFmtId="3" fontId="13" fillId="6" borderId="64" xfId="5" applyNumberFormat="1" applyFont="1" applyFill="1" applyBorder="1" applyAlignment="1" applyProtection="1">
      <alignment horizontal="right" indent="1"/>
      <protection hidden="1"/>
    </xf>
    <xf numFmtId="165" fontId="16" fillId="9" borderId="51" xfId="9" applyNumberFormat="1" applyFont="1" applyFill="1" applyBorder="1" applyAlignment="1" applyProtection="1">
      <alignment horizontal="right" indent="1"/>
      <protection hidden="1"/>
    </xf>
    <xf numFmtId="165" fontId="16" fillId="9" borderId="46" xfId="9" applyNumberFormat="1" applyFont="1" applyFill="1" applyBorder="1" applyAlignment="1" applyProtection="1">
      <alignment horizontal="right" indent="1"/>
      <protection hidden="1"/>
    </xf>
    <xf numFmtId="3" fontId="13" fillId="6" borderId="112" xfId="5" applyNumberFormat="1" applyFont="1" applyFill="1" applyBorder="1" applyAlignment="1" applyProtection="1">
      <alignment horizontal="right" indent="1"/>
      <protection hidden="1"/>
    </xf>
    <xf numFmtId="3" fontId="13" fillId="6" borderId="113" xfId="5" applyNumberFormat="1" applyFont="1" applyFill="1" applyBorder="1" applyAlignment="1" applyProtection="1">
      <alignment horizontal="right" indent="1"/>
      <protection hidden="1"/>
    </xf>
    <xf numFmtId="3" fontId="13" fillId="6" borderId="123" xfId="5" applyNumberFormat="1" applyFont="1" applyFill="1" applyBorder="1" applyAlignment="1" applyProtection="1">
      <alignment horizontal="right" indent="1"/>
      <protection hidden="1"/>
    </xf>
    <xf numFmtId="165" fontId="16" fillId="9" borderId="108" xfId="9" applyNumberFormat="1" applyFont="1" applyFill="1" applyBorder="1" applyAlignment="1" applyProtection="1">
      <alignment horizontal="right" indent="1"/>
      <protection hidden="1"/>
    </xf>
    <xf numFmtId="165" fontId="16" fillId="9" borderId="109" xfId="9" applyNumberFormat="1" applyFont="1" applyFill="1" applyBorder="1" applyAlignment="1" applyProtection="1">
      <alignment horizontal="right" indent="1"/>
      <protection hidden="1"/>
    </xf>
    <xf numFmtId="165" fontId="16" fillId="9" borderId="124" xfId="9" applyNumberFormat="1" applyFont="1" applyFill="1" applyBorder="1" applyAlignment="1" applyProtection="1">
      <alignment horizontal="right" indent="1"/>
      <protection hidden="1"/>
    </xf>
    <xf numFmtId="165" fontId="16" fillId="9" borderId="52" xfId="9" applyNumberFormat="1" applyFont="1" applyFill="1" applyBorder="1" applyAlignment="1" applyProtection="1">
      <alignment horizontal="right" indent="1"/>
      <protection hidden="1"/>
    </xf>
    <xf numFmtId="3" fontId="13" fillId="6" borderId="51" xfId="5" applyNumberFormat="1" applyFont="1" applyFill="1" applyBorder="1" applyAlignment="1" applyProtection="1">
      <alignment horizontal="right" indent="1"/>
      <protection hidden="1"/>
    </xf>
    <xf numFmtId="3" fontId="13" fillId="6" borderId="46" xfId="5" applyNumberFormat="1" applyFont="1" applyFill="1" applyBorder="1" applyAlignment="1" applyProtection="1">
      <alignment horizontal="right" indent="1"/>
      <protection hidden="1"/>
    </xf>
    <xf numFmtId="3" fontId="13" fillId="6" borderId="52" xfId="5" applyNumberFormat="1" applyFont="1" applyFill="1" applyBorder="1" applyAlignment="1" applyProtection="1">
      <alignment horizontal="right" indent="1"/>
      <protection hidden="1"/>
    </xf>
    <xf numFmtId="0" fontId="10" fillId="8" borderId="0" xfId="0" applyFont="1" applyFill="1" applyAlignment="1" applyProtection="1">
      <alignment horizontal="centerContinuous"/>
      <protection hidden="1"/>
    </xf>
    <xf numFmtId="0" fontId="10" fillId="8" borderId="10" xfId="0" applyFont="1" applyFill="1" applyBorder="1" applyAlignment="1" applyProtection="1">
      <alignment horizontal="center"/>
      <protection hidden="1"/>
    </xf>
    <xf numFmtId="0" fontId="10" fillId="8" borderId="7" xfId="0" applyFont="1" applyFill="1" applyBorder="1" applyAlignment="1" applyProtection="1">
      <alignment horizontal="center"/>
      <protection hidden="1"/>
    </xf>
    <xf numFmtId="0" fontId="10" fillId="8" borderId="8" xfId="0" applyFont="1" applyFill="1" applyBorder="1" applyAlignment="1" applyProtection="1">
      <alignment horizontal="center"/>
      <protection hidden="1"/>
    </xf>
    <xf numFmtId="3" fontId="11" fillId="9" borderId="5" xfId="5" applyNumberFormat="1" applyFont="1" applyFill="1" applyBorder="1" applyAlignment="1" applyProtection="1">
      <alignment horizontal="right" indent="1"/>
      <protection hidden="1"/>
    </xf>
    <xf numFmtId="3" fontId="22" fillId="9" borderId="5" xfId="5" applyNumberFormat="1" applyFont="1" applyFill="1" applyBorder="1" applyAlignment="1" applyProtection="1">
      <alignment horizontal="right" indent="1"/>
      <protection hidden="1"/>
    </xf>
    <xf numFmtId="3" fontId="31" fillId="13" borderId="14" xfId="9" applyNumberFormat="1" applyFont="1" applyFill="1" applyBorder="1" applyAlignment="1" applyProtection="1">
      <alignment horizontal="right" vertical="center" indent="1"/>
      <protection hidden="1"/>
    </xf>
    <xf numFmtId="166" fontId="11" fillId="0" borderId="5" xfId="5" applyNumberFormat="1" applyFont="1" applyFill="1" applyBorder="1" applyAlignment="1" applyProtection="1">
      <alignment horizontal="right" indent="1"/>
      <protection hidden="1"/>
    </xf>
    <xf numFmtId="4" fontId="18" fillId="0" borderId="0" xfId="0" applyNumberFormat="1" applyFont="1" applyProtection="1">
      <protection hidden="1"/>
    </xf>
    <xf numFmtId="3" fontId="11" fillId="0" borderId="5" xfId="5" applyNumberFormat="1" applyFont="1" applyFill="1" applyBorder="1" applyAlignment="1" applyProtection="1">
      <alignment horizontal="right" indent="1"/>
      <protection hidden="1"/>
    </xf>
    <xf numFmtId="0" fontId="10" fillId="8" borderId="37" xfId="0" applyFont="1" applyFill="1" applyBorder="1" applyAlignment="1" applyProtection="1">
      <alignment horizontal="center"/>
      <protection hidden="1"/>
    </xf>
    <xf numFmtId="0" fontId="10" fillId="8" borderId="38" xfId="0" applyFont="1" applyFill="1" applyBorder="1" applyAlignment="1" applyProtection="1">
      <alignment horizontal="center"/>
      <protection hidden="1"/>
    </xf>
    <xf numFmtId="0" fontId="10" fillId="8" borderId="39" xfId="0" applyFont="1" applyFill="1" applyBorder="1" applyAlignment="1" applyProtection="1">
      <alignment horizontal="center"/>
      <protection hidden="1"/>
    </xf>
    <xf numFmtId="3" fontId="11" fillId="22" borderId="5" xfId="5" applyNumberFormat="1" applyFont="1" applyFill="1" applyBorder="1" applyAlignment="1" applyProtection="1">
      <alignment horizontal="right" indent="1"/>
      <protection hidden="1"/>
    </xf>
    <xf numFmtId="0" fontId="76" fillId="0" borderId="0" xfId="11" applyFont="1" applyProtection="1">
      <protection hidden="1"/>
    </xf>
    <xf numFmtId="0" fontId="29" fillId="0" borderId="0" xfId="11" applyProtection="1">
      <protection hidden="1"/>
    </xf>
  </cellXfs>
  <cellStyles count="12">
    <cellStyle name="Comma[0]" xfId="5" xr:uid="{6D6EF411-04CB-40B3-9DC0-8CA799BECB5B}"/>
    <cellStyle name="H0" xfId="2" xr:uid="{1CFA2D78-9F69-496C-AE09-0D5B31E7E224}"/>
    <cellStyle name="H1" xfId="8" xr:uid="{CE9C778A-4979-4461-8647-3E808EEE3864}"/>
    <cellStyle name="HSheet" xfId="1" xr:uid="{98480B92-025F-4A7A-A745-E3CBFF66B770}"/>
    <cellStyle name="Inputs" xfId="6" xr:uid="{AAF74338-3244-4EEB-A51E-DE17B0EF8D52}"/>
    <cellStyle name="Insheet" xfId="4" xr:uid="{FAF450D0-D956-4C70-A4C4-6B0F480B2ECC}"/>
    <cellStyle name="Link" xfId="11" builtinId="8"/>
    <cellStyle name="Prozent" xfId="9" builtinId="5"/>
    <cellStyle name="Ratio" xfId="10" xr:uid="{2B942122-43B9-4BBD-904C-B8DC27B3FBC6}"/>
    <cellStyle name="Standard" xfId="0" builtinId="0"/>
    <cellStyle name="Table" xfId="3" xr:uid="{64CE7FDD-4EA4-4B10-8DC3-B9EDC2A5D083}"/>
    <cellStyle name="Unit" xfId="7" xr:uid="{DCE9B179-5731-4D7B-95EA-F9256884B728}"/>
  </cellStyles>
  <dxfs count="92">
    <dxf>
      <font>
        <color theme="1" tint="0.499984740745262"/>
      </font>
      <fill>
        <patternFill patternType="lightTrellis"/>
      </fill>
    </dxf>
    <dxf>
      <font>
        <color theme="1" tint="0.499984740745262"/>
      </font>
      <fill>
        <patternFill patternType="lightTrellis"/>
      </fill>
    </dxf>
    <dxf>
      <font>
        <color theme="1" tint="0.499984740745262"/>
      </font>
      <fill>
        <patternFill patternType="lightTrellis"/>
      </fill>
    </dxf>
    <dxf>
      <font>
        <color theme="1" tint="0.499984740745262"/>
      </font>
      <fill>
        <patternFill patternType="lightTrellis"/>
      </fill>
    </dxf>
    <dxf>
      <font>
        <color theme="1" tint="0.499984740745262"/>
      </font>
      <fill>
        <patternFill patternType="lightTrellis"/>
      </fill>
    </dxf>
    <dxf>
      <font>
        <color theme="1" tint="0.499984740745262"/>
      </font>
      <fill>
        <patternFill patternType="lightTrellis"/>
      </fill>
    </dxf>
    <dxf>
      <font>
        <color theme="1" tint="0.499984740745262"/>
      </font>
      <fill>
        <patternFill patternType="lightTrellis"/>
      </fill>
    </dxf>
    <dxf>
      <font>
        <color theme="0"/>
      </font>
      <fill>
        <patternFill>
          <bgColor rgb="FFFF0000"/>
        </patternFill>
      </fill>
    </dxf>
    <dxf>
      <font>
        <color theme="0"/>
      </font>
      <fill>
        <patternFill>
          <bgColor rgb="FF00B050"/>
        </patternFill>
      </fill>
    </dxf>
    <dxf>
      <font>
        <color theme="1" tint="0.499984740745262"/>
      </font>
      <fill>
        <patternFill patternType="lightTrellis">
          <bgColor theme="2" tint="-9.9948118533890809E-2"/>
        </patternFill>
      </fill>
    </dxf>
    <dxf>
      <font>
        <color theme="1" tint="0.499984740745262"/>
      </font>
      <fill>
        <patternFill patternType="lightTrellis">
          <bgColor theme="2" tint="-9.9948118533890809E-2"/>
        </patternFill>
      </fill>
    </dxf>
    <dxf>
      <font>
        <color theme="1" tint="0.499984740745262"/>
      </font>
      <fill>
        <patternFill patternType="lightTrellis"/>
      </fill>
    </dxf>
    <dxf>
      <font>
        <color theme="1" tint="0.499984740745262"/>
      </font>
      <fill>
        <patternFill patternType="lightTrellis"/>
      </fill>
    </dxf>
    <dxf>
      <font>
        <color theme="1" tint="0.499984740745262"/>
      </font>
      <fill>
        <patternFill patternType="lightTrellis"/>
      </fill>
    </dxf>
    <dxf>
      <font>
        <color theme="1" tint="0.499984740745262"/>
      </font>
      <fill>
        <patternFill patternType="lightTrellis"/>
      </fill>
    </dxf>
    <dxf>
      <font>
        <color theme="1" tint="0.499984740745262"/>
      </font>
      <fill>
        <patternFill patternType="lightTrellis"/>
      </fill>
    </dxf>
    <dxf>
      <font>
        <color theme="1" tint="0.499984740745262"/>
      </font>
      <fill>
        <patternFill patternType="lightTrellis"/>
      </fill>
    </dxf>
    <dxf>
      <font>
        <color theme="1" tint="0.499984740745262"/>
      </font>
      <fill>
        <patternFill patternType="lightTrellis"/>
      </fill>
    </dxf>
    <dxf>
      <font>
        <color theme="0"/>
      </font>
      <fill>
        <patternFill>
          <bgColor rgb="FFFF0000"/>
        </patternFill>
      </fill>
    </dxf>
    <dxf>
      <font>
        <color theme="0"/>
      </font>
      <fill>
        <patternFill>
          <bgColor rgb="FF00B050"/>
        </patternFill>
      </fill>
    </dxf>
    <dxf>
      <font>
        <color theme="1" tint="0.499984740745262"/>
      </font>
      <fill>
        <patternFill patternType="lightTrellis">
          <bgColor theme="2" tint="-9.9948118533890809E-2"/>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border>
        <left style="hair">
          <color theme="2" tint="-9.9948118533890809E-2"/>
        </left>
        <right style="hair">
          <color theme="2" tint="-9.9948118533890809E-2"/>
        </right>
        <top style="hair">
          <color theme="2" tint="-9.9948118533890809E-2"/>
        </top>
        <bottom style="hair">
          <color theme="2" tint="-9.9948118533890809E-2"/>
        </bottom>
      </border>
    </dxf>
    <dxf>
      <font>
        <color theme="0"/>
      </font>
      <fill>
        <patternFill>
          <bgColor rgb="FFFF0000"/>
        </patternFill>
      </fill>
    </dxf>
    <dxf>
      <font>
        <color theme="0"/>
      </font>
      <fill>
        <patternFill>
          <bgColor rgb="FF00B050"/>
        </patternFill>
      </fill>
    </dxf>
    <dxf>
      <font>
        <color theme="1" tint="0.499984740745262"/>
      </font>
      <fill>
        <patternFill patternType="lightTrellis">
          <bgColor theme="2" tint="-9.9948118533890809E-2"/>
        </patternFill>
      </fill>
    </dxf>
    <dxf>
      <font>
        <color theme="1" tint="0.499984740745262"/>
      </font>
      <fill>
        <patternFill patternType="lightTrellis">
          <bgColor theme="2" tint="-9.9948118533890809E-2"/>
        </patternFill>
      </fill>
    </dxf>
    <dxf>
      <font>
        <color theme="1" tint="0.499984740745262"/>
      </font>
      <fill>
        <patternFill patternType="lightTrellis">
          <bgColor theme="2" tint="-9.9948118533890809E-2"/>
        </patternFill>
      </fill>
    </dxf>
    <dxf>
      <font>
        <color theme="1" tint="0.499984740745262"/>
      </font>
      <fill>
        <patternFill patternType="lightTrellis">
          <bgColor theme="2" tint="-9.9948118533890809E-2"/>
        </patternFill>
      </fill>
    </dxf>
    <dxf>
      <font>
        <color theme="1" tint="0.499984740745262"/>
      </font>
      <fill>
        <patternFill patternType="lightTrellis">
          <bgColor theme="2" tint="-9.9948118533890809E-2"/>
        </patternFill>
      </fill>
    </dxf>
    <dxf>
      <font>
        <color theme="1" tint="0.499984740745262"/>
      </font>
      <fill>
        <patternFill patternType="lightTrellis">
          <bgColor theme="2" tint="-9.9948118533890809E-2"/>
        </patternFill>
      </fill>
    </dxf>
    <dxf>
      <font>
        <color theme="0"/>
      </font>
      <fill>
        <patternFill>
          <bgColor rgb="FFFF0000"/>
        </patternFill>
      </fill>
    </dxf>
    <dxf>
      <font>
        <color theme="0"/>
      </font>
      <fill>
        <patternFill>
          <bgColor rgb="FF00B050"/>
        </patternFill>
      </fill>
      <border>
        <left style="hair">
          <color theme="2" tint="-9.9917600024414813E-2"/>
        </left>
        <right style="hair">
          <color theme="2" tint="-9.9917600024414813E-2"/>
        </right>
        <top style="hair">
          <color theme="2" tint="-9.9917600024414813E-2"/>
        </top>
        <bottom style="hair">
          <color theme="2" tint="-9.9917600024414813E-2"/>
        </bottom>
      </border>
    </dxf>
    <dxf>
      <font>
        <color theme="0"/>
      </font>
      <fill>
        <patternFill>
          <bgColor rgb="FFFF0000"/>
        </patternFill>
      </fill>
    </dxf>
    <dxf>
      <font>
        <color theme="0"/>
      </font>
      <fill>
        <patternFill>
          <bgColor rgb="FF00B050"/>
        </patternFill>
      </fill>
      <border>
        <left style="hair">
          <color theme="2" tint="-9.9917600024414813E-2"/>
        </left>
        <right style="hair">
          <color theme="2" tint="-9.9917600024414813E-2"/>
        </right>
        <top style="hair">
          <color theme="2" tint="-9.9917600024414813E-2"/>
        </top>
        <bottom style="hair">
          <color theme="2" tint="-9.9917600024414813E-2"/>
        </bottom>
      </border>
    </dxf>
    <dxf>
      <font>
        <color theme="0"/>
      </font>
      <fill>
        <patternFill>
          <bgColor rgb="FFFF0000"/>
        </patternFill>
      </fill>
    </dxf>
    <dxf>
      <font>
        <color theme="0"/>
      </font>
      <fill>
        <patternFill>
          <bgColor rgb="FF00B050"/>
        </patternFill>
      </fill>
      <border>
        <left style="hair">
          <color theme="2" tint="-9.9948118533890809E-2"/>
        </left>
        <right style="hair">
          <color theme="2" tint="-9.9948118533890809E-2"/>
        </right>
        <top style="hair">
          <color theme="2" tint="-9.9948118533890809E-2"/>
        </top>
        <bottom style="hair">
          <color theme="2" tint="-9.9948118533890809E-2"/>
        </bottom>
      </border>
    </dxf>
    <dxf>
      <font>
        <color theme="0"/>
      </font>
      <fill>
        <patternFill>
          <bgColor theme="9" tint="0.39994506668294322"/>
        </patternFill>
      </fill>
    </dxf>
    <dxf>
      <fill>
        <patternFill>
          <bgColor rgb="FFFFC7CE"/>
        </patternFill>
      </fill>
    </dxf>
    <dxf>
      <font>
        <color theme="0"/>
      </font>
      <fill>
        <patternFill>
          <bgColor theme="9" tint="0.39994506668294322"/>
        </patternFill>
      </fill>
    </dxf>
    <dxf>
      <fill>
        <patternFill>
          <bgColor rgb="FFFFC7CE"/>
        </patternFill>
      </fill>
    </dxf>
    <dxf>
      <font>
        <color theme="0"/>
      </font>
      <fill>
        <patternFill>
          <bgColor theme="9" tint="0.39994506668294322"/>
        </patternFill>
      </fill>
    </dxf>
    <dxf>
      <fill>
        <patternFill>
          <bgColor rgb="FFFFC7CE"/>
        </patternFill>
      </fill>
    </dxf>
    <dxf>
      <font>
        <color theme="0"/>
      </font>
      <fill>
        <patternFill>
          <bgColor theme="9" tint="0.39994506668294322"/>
        </patternFill>
      </fill>
    </dxf>
    <dxf>
      <fill>
        <patternFill>
          <bgColor rgb="FFFFC7CE"/>
        </patternFill>
      </fill>
    </dxf>
    <dxf>
      <font>
        <color theme="0"/>
      </font>
      <fill>
        <patternFill>
          <bgColor theme="9" tint="0.39994506668294322"/>
        </patternFill>
      </fill>
    </dxf>
    <dxf>
      <fill>
        <patternFill>
          <bgColor rgb="FFFFC7CE"/>
        </patternFill>
      </fill>
    </dxf>
    <dxf>
      <font>
        <color theme="0"/>
      </font>
      <fill>
        <patternFill>
          <bgColor theme="9" tint="0.39994506668294322"/>
        </patternFill>
      </fill>
    </dxf>
    <dxf>
      <fill>
        <patternFill>
          <bgColor rgb="FFFFC7CE"/>
        </patternFill>
      </fill>
    </dxf>
    <dxf>
      <font>
        <color theme="0"/>
      </font>
      <fill>
        <patternFill>
          <bgColor rgb="FFFF0000"/>
        </patternFill>
      </fill>
    </dxf>
    <dxf>
      <font>
        <color theme="0"/>
      </font>
      <fill>
        <patternFill>
          <bgColor rgb="FF00B050"/>
        </patternFill>
      </fill>
      <border>
        <left style="hair">
          <color theme="2" tint="-9.9948118533890809E-2"/>
        </left>
        <right style="hair">
          <color theme="2" tint="-9.9948118533890809E-2"/>
        </right>
        <top style="hair">
          <color theme="2" tint="-9.9948118533890809E-2"/>
        </top>
        <bottom style="hair">
          <color theme="2" tint="-9.9948118533890809E-2"/>
        </bottom>
      </border>
    </dxf>
    <dxf>
      <font>
        <b/>
        <i val="0"/>
      </font>
      <fill>
        <patternFill>
          <bgColor rgb="FFFFC000"/>
        </patternFill>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s>
  <tableStyles count="0" defaultTableStyle="TableStyleMedium2" defaultPivotStyle="PivotStyleLight16"/>
  <colors>
    <mruColors>
      <color rgb="FF0047AB"/>
      <color rgb="FFFFDC6D"/>
      <color rgb="FFD7DBDD"/>
      <color rgb="FFFFE79B"/>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22/11/relationships/FeaturePropertyBag" Target="featurePropertyBag/featurePropertyBag.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000" b="1"/>
              <a:t>Chart 1:</a:t>
            </a:r>
            <a:r>
              <a:rPr lang="de-DE" sz="1000" b="1" baseline="0"/>
              <a:t> Unternehmenswert  in Abhängigkeit von Wachstumsannahme und Kapitalkosten</a:t>
            </a:r>
            <a:endParaRPr lang="de-DE" sz="1000"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v>weiß</c:v>
          </c:tx>
          <c:spPr>
            <a:solidFill>
              <a:schemeClr val="bg1"/>
            </a:solidFill>
            <a:ln>
              <a:noFill/>
            </a:ln>
            <a:effectLst/>
          </c:spPr>
          <c:invertIfNegative val="0"/>
          <c:dLbls>
            <c:delete val="1"/>
          </c:dLbls>
          <c:cat>
            <c:numRef>
              <c:f>'3. Management Summary'!$I$37:$M$37</c:f>
              <c:numCache>
                <c:formatCode>0.00%</c:formatCode>
                <c:ptCount val="5"/>
                <c:pt idx="0">
                  <c:v>0</c:v>
                </c:pt>
                <c:pt idx="1">
                  <c:v>5.0000000000000001E-3</c:v>
                </c:pt>
                <c:pt idx="2">
                  <c:v>0.01</c:v>
                </c:pt>
                <c:pt idx="3">
                  <c:v>1.4999999999999999E-2</c:v>
                </c:pt>
                <c:pt idx="4">
                  <c:v>0.02</c:v>
                </c:pt>
              </c:numCache>
            </c:numRef>
          </c:cat>
          <c:val>
            <c:numRef>
              <c:f>'3. Management Summary'!$W$38:$W$42</c:f>
              <c:numCache>
                <c:formatCode>#,##0</c:formatCode>
                <c:ptCount val="5"/>
                <c:pt idx="0">
                  <c:v>1334.666666666667</c:v>
                </c:pt>
                <c:pt idx="1">
                  <c:v>1173.3333333333335</c:v>
                </c:pt>
                <c:pt idx="2">
                  <c:v>944.89675516224213</c:v>
                </c:pt>
                <c:pt idx="3">
                  <c:v>731.32420091324229</c:v>
                </c:pt>
                <c:pt idx="4">
                  <c:v>561.96491228070181</c:v>
                </c:pt>
              </c:numCache>
            </c:numRef>
          </c:val>
          <c:extLst>
            <c:ext xmlns:c16="http://schemas.microsoft.com/office/drawing/2014/chart" uri="{C3380CC4-5D6E-409C-BE32-E72D297353CC}">
              <c16:uniqueId val="{00000000-AB5D-4715-9DF7-DEC3739FE98D}"/>
            </c:ext>
          </c:extLst>
        </c:ser>
        <c:ser>
          <c:idx val="1"/>
          <c:order val="1"/>
          <c:tx>
            <c:v>blau</c:v>
          </c:tx>
          <c:spPr>
            <a:solidFill>
              <a:srgbClr val="002060"/>
            </a:solidFill>
            <a:ln>
              <a:noFill/>
            </a:ln>
            <a:effectLst/>
          </c:spPr>
          <c:invertIfNegative val="0"/>
          <c:dPt>
            <c:idx val="0"/>
            <c:invertIfNegative val="0"/>
            <c:bubble3D val="0"/>
            <c:spPr>
              <a:solidFill>
                <a:srgbClr val="FFC000"/>
              </a:solidFill>
              <a:ln>
                <a:noFill/>
              </a:ln>
              <a:effectLst/>
            </c:spPr>
            <c:extLst>
              <c:ext xmlns:c16="http://schemas.microsoft.com/office/drawing/2014/chart" uri="{C3380CC4-5D6E-409C-BE32-E72D297353CC}">
                <c16:uniqueId val="{00000002-8086-4CAB-B738-DC9FAEBE4A0A}"/>
              </c:ext>
            </c:extLst>
          </c:dPt>
          <c:dLbls>
            <c:delete val="1"/>
          </c:dLbls>
          <c:cat>
            <c:numRef>
              <c:f>'3. Management Summary'!$I$37:$M$37</c:f>
              <c:numCache>
                <c:formatCode>0.00%</c:formatCode>
                <c:ptCount val="5"/>
                <c:pt idx="0">
                  <c:v>0</c:v>
                </c:pt>
                <c:pt idx="1">
                  <c:v>5.0000000000000001E-3</c:v>
                </c:pt>
                <c:pt idx="2">
                  <c:v>0.01</c:v>
                </c:pt>
                <c:pt idx="3">
                  <c:v>1.4999999999999999E-2</c:v>
                </c:pt>
                <c:pt idx="4">
                  <c:v>0.02</c:v>
                </c:pt>
              </c:numCache>
            </c:numRef>
          </c:cat>
          <c:val>
            <c:numRef>
              <c:f>'3. Management Summary'!$Y$38:$Y$42</c:f>
              <c:numCache>
                <c:formatCode>#,##0</c:formatCode>
                <c:ptCount val="5"/>
                <c:pt idx="0">
                  <c:v>506.2528735632186</c:v>
                </c:pt>
                <c:pt idx="1">
                  <c:v>374.10628019323713</c:v>
                </c:pt>
                <c:pt idx="2">
                  <c:v>228.43657817109158</c:v>
                </c:pt>
                <c:pt idx="3">
                  <c:v>129.75106790396239</c:v>
                </c:pt>
                <c:pt idx="4">
                  <c:v>73.590643274853733</c:v>
                </c:pt>
              </c:numCache>
            </c:numRef>
          </c:val>
          <c:extLst>
            <c:ext xmlns:c16="http://schemas.microsoft.com/office/drawing/2014/chart" uri="{C3380CC4-5D6E-409C-BE32-E72D297353CC}">
              <c16:uniqueId val="{00000003-AB5D-4715-9DF7-DEC3739FE98D}"/>
            </c:ext>
          </c:extLst>
        </c:ser>
        <c:dLbls>
          <c:dLblPos val="ctr"/>
          <c:showLegendKey val="0"/>
          <c:showVal val="1"/>
          <c:showCatName val="0"/>
          <c:showSerName val="0"/>
          <c:showPercent val="0"/>
          <c:showBubbleSize val="0"/>
        </c:dLbls>
        <c:gapWidth val="150"/>
        <c:overlap val="100"/>
        <c:axId val="88204352"/>
        <c:axId val="88147232"/>
      </c:barChart>
      <c:catAx>
        <c:axId val="88204352"/>
        <c:scaling>
          <c:orientation val="minMax"/>
        </c:scaling>
        <c:delete val="0"/>
        <c:axPos val="b"/>
        <c:numFmt formatCode="0.0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88147232"/>
        <c:crosses val="autoZero"/>
        <c:auto val="1"/>
        <c:lblAlgn val="ctr"/>
        <c:lblOffset val="100"/>
        <c:noMultiLvlLbl val="0"/>
      </c:catAx>
      <c:valAx>
        <c:axId val="88147232"/>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in Tsd. Euro</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88204352"/>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000" b="1"/>
              <a:t>Chart 1:</a:t>
            </a:r>
            <a:r>
              <a:rPr lang="de-DE" sz="1000" b="1" baseline="0"/>
              <a:t> Unternehmenswert  in Abhängigkeit von Wachstumsannahme und Kapitalkosten</a:t>
            </a:r>
            <a:endParaRPr lang="de-DE" sz="1000"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strRef>
              <c:f>Slides!$G$264</c:f>
              <c:strCache>
                <c:ptCount val="1"/>
                <c:pt idx="0">
                  <c:v>Weiß</c:v>
                </c:pt>
              </c:strCache>
            </c:strRef>
          </c:tx>
          <c:spPr>
            <a:solidFill>
              <a:schemeClr val="bg1"/>
            </a:solidFill>
            <a:ln>
              <a:noFill/>
            </a:ln>
            <a:effectLst/>
          </c:spPr>
          <c:invertIfNegative val="0"/>
          <c:dLbls>
            <c:delete val="1"/>
          </c:dLbls>
          <c:cat>
            <c:numRef>
              <c:f>Slides!$F$265:$F$269</c:f>
              <c:numCache>
                <c:formatCode>0.00%</c:formatCode>
                <c:ptCount val="5"/>
                <c:pt idx="0">
                  <c:v>4.9999999999999984E-3</c:v>
                </c:pt>
                <c:pt idx="1">
                  <c:v>9.9999999999999985E-3</c:v>
                </c:pt>
                <c:pt idx="2" formatCode="0.0%\ &quot; Base Case&quot;">
                  <c:v>1.4999999999999999E-2</c:v>
                </c:pt>
                <c:pt idx="3">
                  <c:v>0.02</c:v>
                </c:pt>
                <c:pt idx="4">
                  <c:v>2.5000000000000001E-2</c:v>
                </c:pt>
              </c:numCache>
            </c:numRef>
          </c:cat>
          <c:val>
            <c:numRef>
              <c:f>Slides!$G$265:$G$269</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7CB2-4204-A04D-E0CE9BECEB00}"/>
            </c:ext>
          </c:extLst>
        </c:ser>
        <c:ser>
          <c:idx val="1"/>
          <c:order val="1"/>
          <c:tx>
            <c:strRef>
              <c:f>Slides!$H$264</c:f>
              <c:strCache>
                <c:ptCount val="1"/>
                <c:pt idx="0">
                  <c:v>Farbe</c:v>
                </c:pt>
              </c:strCache>
            </c:strRef>
          </c:tx>
          <c:spPr>
            <a:solidFill>
              <a:srgbClr val="002060"/>
            </a:solidFill>
            <a:ln>
              <a:noFill/>
            </a:ln>
            <a:effectLst/>
          </c:spPr>
          <c:invertIfNegative val="0"/>
          <c:dPt>
            <c:idx val="2"/>
            <c:invertIfNegative val="0"/>
            <c:bubble3D val="0"/>
            <c:spPr>
              <a:solidFill>
                <a:srgbClr val="FFC000"/>
              </a:solidFill>
              <a:ln>
                <a:noFill/>
              </a:ln>
              <a:effectLst/>
            </c:spPr>
            <c:extLst>
              <c:ext xmlns:c16="http://schemas.microsoft.com/office/drawing/2014/chart" uri="{C3380CC4-5D6E-409C-BE32-E72D297353CC}">
                <c16:uniqueId val="{00000002-7CB2-4204-A04D-E0CE9BECEB00}"/>
              </c:ext>
            </c:extLst>
          </c:dPt>
          <c:dLbls>
            <c:delete val="1"/>
          </c:dLbls>
          <c:cat>
            <c:numRef>
              <c:f>Slides!$F$265:$F$269</c:f>
              <c:numCache>
                <c:formatCode>0.00%</c:formatCode>
                <c:ptCount val="5"/>
                <c:pt idx="0">
                  <c:v>4.9999999999999984E-3</c:v>
                </c:pt>
                <c:pt idx="1">
                  <c:v>9.9999999999999985E-3</c:v>
                </c:pt>
                <c:pt idx="2" formatCode="0.0%\ &quot; Base Case&quot;">
                  <c:v>1.4999999999999999E-2</c:v>
                </c:pt>
                <c:pt idx="3">
                  <c:v>0.02</c:v>
                </c:pt>
                <c:pt idx="4">
                  <c:v>2.5000000000000001E-2</c:v>
                </c:pt>
              </c:numCache>
            </c:numRef>
          </c:cat>
          <c:val>
            <c:numRef>
              <c:f>Slides!$H$265:$H$269</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3-7CB2-4204-A04D-E0CE9BECEB00}"/>
            </c:ext>
          </c:extLst>
        </c:ser>
        <c:dLbls>
          <c:dLblPos val="ctr"/>
          <c:showLegendKey val="0"/>
          <c:showVal val="1"/>
          <c:showCatName val="0"/>
          <c:showSerName val="0"/>
          <c:showPercent val="0"/>
          <c:showBubbleSize val="0"/>
        </c:dLbls>
        <c:gapWidth val="150"/>
        <c:overlap val="100"/>
        <c:axId val="88204352"/>
        <c:axId val="88147232"/>
      </c:barChart>
      <c:catAx>
        <c:axId val="88204352"/>
        <c:scaling>
          <c:orientation val="minMax"/>
        </c:scaling>
        <c:delete val="0"/>
        <c:axPos val="b"/>
        <c:numFmt formatCode="0.0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88147232"/>
        <c:crosses val="autoZero"/>
        <c:auto val="1"/>
        <c:lblAlgn val="ctr"/>
        <c:lblOffset val="100"/>
        <c:noMultiLvlLbl val="0"/>
      </c:catAx>
      <c:valAx>
        <c:axId val="88147232"/>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in Tsd. Euro</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882043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0"/>
          <a:lstStyle/>
          <a:p>
            <a:pPr>
              <a:defRPr sz="1000" b="1" i="0" u="none" strike="noStrike" kern="1200" spc="0" baseline="0">
                <a:solidFill>
                  <a:schemeClr val="tx1">
                    <a:lumMod val="65000"/>
                    <a:lumOff val="35000"/>
                  </a:schemeClr>
                </a:solidFill>
                <a:latin typeface="+mn-lt"/>
                <a:ea typeface="+mn-ea"/>
                <a:cs typeface="+mn-cs"/>
              </a:defRPr>
            </a:pPr>
            <a:r>
              <a:rPr lang="de-DE" sz="1000" b="1"/>
              <a:t>Chart 2: Eigenkapital- und Fremdkapitalquote zu Marktwerten</a:t>
            </a:r>
          </a:p>
        </c:rich>
      </c:tx>
      <c:overlay val="0"/>
      <c:spPr>
        <a:noFill/>
        <a:ln>
          <a:noFill/>
        </a:ln>
        <a:effectLst/>
      </c:spPr>
      <c:txPr>
        <a:bodyPr rot="0" spcFirstLastPara="1" vertOverflow="ellipsis" vert="horz" wrap="square" anchor="ctr" anchorCtr="0"/>
        <a:lstStyle/>
        <a:p>
          <a:pPr>
            <a:defRPr sz="10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'(AUSBLENDEN) Bewertung'!$C$56</c:f>
              <c:strCache>
                <c:ptCount val="1"/>
                <c:pt idx="0">
                  <c:v>Eigenkapitalquote</c:v>
                </c:pt>
              </c:strCache>
            </c:strRef>
          </c:tx>
          <c:spPr>
            <a:ln w="19050" cap="rnd">
              <a:solidFill>
                <a:srgbClr val="002060"/>
              </a:solidFill>
              <a:round/>
            </a:ln>
            <a:effectLst/>
          </c:spPr>
          <c:marker>
            <c:symbol val="diamond"/>
            <c:size val="4"/>
            <c:spPr>
              <a:solidFill>
                <a:srgbClr val="FFC000"/>
              </a:solidFill>
              <a:ln w="9525">
                <a:solidFill>
                  <a:srgbClr val="FFC000"/>
                </a:solidFill>
              </a:ln>
              <a:effectLst/>
            </c:spPr>
          </c:marker>
          <c:cat>
            <c:numRef>
              <c:f>'(AUSBLENDEN) Bewertung'!$H$44:$M$44</c:f>
              <c:numCache>
                <c:formatCode>General</c:formatCode>
                <c:ptCount val="6"/>
                <c:pt idx="0">
                  <c:v>2027</c:v>
                </c:pt>
                <c:pt idx="1">
                  <c:v>2028</c:v>
                </c:pt>
                <c:pt idx="2">
                  <c:v>2029</c:v>
                </c:pt>
                <c:pt idx="3">
                  <c:v>2030</c:v>
                </c:pt>
                <c:pt idx="4">
                  <c:v>2031</c:v>
                </c:pt>
                <c:pt idx="5" formatCode="###0&quot; ff.&quot;">
                  <c:v>2032</c:v>
                </c:pt>
              </c:numCache>
            </c:numRef>
          </c:cat>
          <c:val>
            <c:numRef>
              <c:f>'(AUSBLENDEN) Bewertung'!$H$56:$M$56</c:f>
              <c:numCache>
                <c:formatCode>0.00%</c:formatCode>
                <c:ptCount val="6"/>
                <c:pt idx="0">
                  <c:v>0.9403719779222961</c:v>
                </c:pt>
                <c:pt idx="1">
                  <c:v>0.668975126209154</c:v>
                </c:pt>
                <c:pt idx="2">
                  <c:v>0.68261416134633224</c:v>
                </c:pt>
                <c:pt idx="3">
                  <c:v>0.69334936164269356</c:v>
                </c:pt>
                <c:pt idx="4">
                  <c:v>0.70132704628686493</c:v>
                </c:pt>
                <c:pt idx="5">
                  <c:v>0.70656684561201388</c:v>
                </c:pt>
              </c:numCache>
            </c:numRef>
          </c:val>
          <c:smooth val="0"/>
          <c:extLst>
            <c:ext xmlns:c16="http://schemas.microsoft.com/office/drawing/2014/chart" uri="{C3380CC4-5D6E-409C-BE32-E72D297353CC}">
              <c16:uniqueId val="{00000000-A2AA-4A67-8FBA-EE362F986DBB}"/>
            </c:ext>
          </c:extLst>
        </c:ser>
        <c:ser>
          <c:idx val="1"/>
          <c:order val="1"/>
          <c:tx>
            <c:strRef>
              <c:f>'(AUSBLENDEN) Bewertung'!$C$55</c:f>
              <c:strCache>
                <c:ptCount val="1"/>
                <c:pt idx="0">
                  <c:v>Netto-Fremdkapitalquote</c:v>
                </c:pt>
              </c:strCache>
            </c:strRef>
          </c:tx>
          <c:spPr>
            <a:ln w="19050" cap="rnd">
              <a:solidFill>
                <a:srgbClr val="C00000"/>
              </a:solidFill>
              <a:round/>
            </a:ln>
            <a:effectLst/>
          </c:spPr>
          <c:marker>
            <c:symbol val="diamond"/>
            <c:size val="3"/>
            <c:spPr>
              <a:solidFill>
                <a:schemeClr val="bg2">
                  <a:lumMod val="50000"/>
                </a:schemeClr>
              </a:solidFill>
              <a:ln w="9525">
                <a:solidFill>
                  <a:schemeClr val="bg2">
                    <a:lumMod val="50000"/>
                  </a:schemeClr>
                </a:solidFill>
              </a:ln>
              <a:effectLst/>
            </c:spPr>
          </c:marker>
          <c:cat>
            <c:numRef>
              <c:f>'(AUSBLENDEN) Bewertung'!$H$44:$M$44</c:f>
              <c:numCache>
                <c:formatCode>General</c:formatCode>
                <c:ptCount val="6"/>
                <c:pt idx="0">
                  <c:v>2027</c:v>
                </c:pt>
                <c:pt idx="1">
                  <c:v>2028</c:v>
                </c:pt>
                <c:pt idx="2">
                  <c:v>2029</c:v>
                </c:pt>
                <c:pt idx="3">
                  <c:v>2030</c:v>
                </c:pt>
                <c:pt idx="4">
                  <c:v>2031</c:v>
                </c:pt>
                <c:pt idx="5" formatCode="###0&quot; ff.&quot;">
                  <c:v>2032</c:v>
                </c:pt>
              </c:numCache>
            </c:numRef>
          </c:cat>
          <c:val>
            <c:numRef>
              <c:f>'(AUSBLENDEN) Bewertung'!$H$55:$M$55</c:f>
              <c:numCache>
                <c:formatCode>0.00%</c:formatCode>
                <c:ptCount val="6"/>
                <c:pt idx="0">
                  <c:v>5.962802207770395E-2</c:v>
                </c:pt>
                <c:pt idx="1">
                  <c:v>0.33102487379084594</c:v>
                </c:pt>
                <c:pt idx="2">
                  <c:v>0.31738583865366776</c:v>
                </c:pt>
                <c:pt idx="3">
                  <c:v>0.30665063835730644</c:v>
                </c:pt>
                <c:pt idx="4">
                  <c:v>0.29867295371313507</c:v>
                </c:pt>
                <c:pt idx="5">
                  <c:v>0.29343315438798617</c:v>
                </c:pt>
              </c:numCache>
            </c:numRef>
          </c:val>
          <c:smooth val="0"/>
          <c:extLst>
            <c:ext xmlns:c16="http://schemas.microsoft.com/office/drawing/2014/chart" uri="{C3380CC4-5D6E-409C-BE32-E72D297353CC}">
              <c16:uniqueId val="{00000001-A2AA-4A67-8FBA-EE362F986DBB}"/>
            </c:ext>
          </c:extLst>
        </c:ser>
        <c:dLbls>
          <c:showLegendKey val="0"/>
          <c:showVal val="0"/>
          <c:showCatName val="0"/>
          <c:showSerName val="0"/>
          <c:showPercent val="0"/>
          <c:showBubbleSize val="0"/>
        </c:dLbls>
        <c:marker val="1"/>
        <c:smooth val="0"/>
        <c:axId val="1135951408"/>
        <c:axId val="1135943248"/>
      </c:lineChart>
      <c:catAx>
        <c:axId val="1135951408"/>
        <c:scaling>
          <c:orientation val="minMax"/>
        </c:scaling>
        <c:delete val="1"/>
        <c:axPos val="b"/>
        <c:numFmt formatCode="General" sourceLinked="1"/>
        <c:majorTickMark val="none"/>
        <c:minorTickMark val="none"/>
        <c:tickLblPos val="nextTo"/>
        <c:crossAx val="1135943248"/>
        <c:crosses val="autoZero"/>
        <c:auto val="1"/>
        <c:lblAlgn val="ctr"/>
        <c:lblOffset val="100"/>
        <c:noMultiLvlLbl val="0"/>
      </c:catAx>
      <c:valAx>
        <c:axId val="113594324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in"/>
        <c:minorTickMark val="none"/>
        <c:tickLblPos val="nextTo"/>
        <c:spPr>
          <a:noFill/>
          <a:ln>
            <a:solidFill>
              <a:schemeClr val="bg1">
                <a:lumMod val="6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135951408"/>
        <c:crosses val="autoZero"/>
        <c:crossBetween val="between"/>
      </c:valAx>
      <c:dTable>
        <c:showHorzBorder val="0"/>
        <c:showVertBorder val="1"/>
        <c:showOutline val="0"/>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de-DE"/>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lumMod val="65000"/>
                    <a:lumOff val="35000"/>
                  </a:schemeClr>
                </a:solidFill>
                <a:latin typeface="+mn-lt"/>
                <a:ea typeface="+mn-ea"/>
                <a:cs typeface="+mn-cs"/>
              </a:defRPr>
            </a:pPr>
            <a:r>
              <a:rPr lang="de-DE" sz="1000" b="1"/>
              <a:t>Chart 4:</a:t>
            </a:r>
            <a:r>
              <a:rPr lang="de-DE" sz="1000" b="1" baseline="0"/>
              <a:t> Kapitalrendite (RONIC) vs. Kapitalkosten (WACC)</a:t>
            </a:r>
            <a:endParaRPr lang="de-DE" sz="1000" b="1"/>
          </a:p>
        </c:rich>
      </c:tx>
      <c:overlay val="0"/>
      <c:spPr>
        <a:noFill/>
        <a:ln>
          <a:noFill/>
        </a:ln>
        <a:effectLst/>
      </c:spPr>
      <c:txPr>
        <a:bodyPr rot="0" spcFirstLastPara="1" vertOverflow="ellipsis" vert="horz" wrap="square" anchor="ctr" anchorCtr="1"/>
        <a:lstStyle/>
        <a:p>
          <a:pPr>
            <a:defRPr sz="10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Slides!$C$236</c:f>
              <c:strCache>
                <c:ptCount val="1"/>
                <c:pt idx="0">
                  <c:v>Return on new Investment RONIC</c:v>
                </c:pt>
              </c:strCache>
            </c:strRef>
          </c:tx>
          <c:spPr>
            <a:ln w="19050" cap="rnd">
              <a:solidFill>
                <a:srgbClr val="002060"/>
              </a:solidFill>
              <a:round/>
            </a:ln>
            <a:effectLst/>
          </c:spPr>
          <c:marker>
            <c:symbol val="diamond"/>
            <c:size val="3"/>
            <c:spPr>
              <a:solidFill>
                <a:srgbClr val="FFC000"/>
              </a:solidFill>
              <a:ln w="9525">
                <a:solidFill>
                  <a:srgbClr val="FFC000"/>
                </a:solidFill>
              </a:ln>
              <a:effectLst/>
            </c:spPr>
          </c:marker>
          <c:cat>
            <c:numRef>
              <c:f>Slides!$L$198:$Q$198</c:f>
              <c:numCache>
                <c:formatCode>General</c:formatCode>
                <c:ptCount val="6"/>
                <c:pt idx="0">
                  <c:v>2027</c:v>
                </c:pt>
                <c:pt idx="1">
                  <c:v>2028</c:v>
                </c:pt>
                <c:pt idx="2">
                  <c:v>2029</c:v>
                </c:pt>
                <c:pt idx="3">
                  <c:v>2030</c:v>
                </c:pt>
                <c:pt idx="4">
                  <c:v>2031</c:v>
                </c:pt>
                <c:pt idx="5">
                  <c:v>2032</c:v>
                </c:pt>
              </c:numCache>
            </c:numRef>
          </c:cat>
          <c:val>
            <c:numRef>
              <c:f>Slides!$L$236:$Q$236</c:f>
              <c:numCache>
                <c:formatCode>0.00%</c:formatCode>
                <c:ptCount val="6"/>
                <c:pt idx="0">
                  <c:v>0.11</c:v>
                </c:pt>
                <c:pt idx="1">
                  <c:v>0.14000000000000001</c:v>
                </c:pt>
                <c:pt idx="2">
                  <c:v>0.10993277988262343</c:v>
                </c:pt>
                <c:pt idx="3">
                  <c:v>0.1805056985339141</c:v>
                </c:pt>
                <c:pt idx="4">
                  <c:v>0.2</c:v>
                </c:pt>
                <c:pt idx="5">
                  <c:v>0</c:v>
                </c:pt>
              </c:numCache>
            </c:numRef>
          </c:val>
          <c:smooth val="0"/>
          <c:extLst>
            <c:ext xmlns:c16="http://schemas.microsoft.com/office/drawing/2014/chart" uri="{C3380CC4-5D6E-409C-BE32-E72D297353CC}">
              <c16:uniqueId val="{00000000-06EA-40A2-A4DE-56E5BA83D4EA}"/>
            </c:ext>
          </c:extLst>
        </c:ser>
        <c:ser>
          <c:idx val="1"/>
          <c:order val="1"/>
          <c:tx>
            <c:strRef>
              <c:f>'(AUSBLENDEN) Bewertung'!$C$77</c:f>
              <c:strCache>
                <c:ptCount val="1"/>
                <c:pt idx="0">
                  <c:v>WACC</c:v>
                </c:pt>
              </c:strCache>
            </c:strRef>
          </c:tx>
          <c:spPr>
            <a:ln w="19050" cap="rnd">
              <a:solidFill>
                <a:srgbClr val="C00000"/>
              </a:solidFill>
              <a:round/>
            </a:ln>
            <a:effectLst/>
          </c:spPr>
          <c:marker>
            <c:symbol val="diamond"/>
            <c:size val="3"/>
            <c:spPr>
              <a:solidFill>
                <a:schemeClr val="bg2">
                  <a:lumMod val="50000"/>
                </a:schemeClr>
              </a:solidFill>
              <a:ln w="9525">
                <a:solidFill>
                  <a:schemeClr val="bg2">
                    <a:lumMod val="50000"/>
                  </a:schemeClr>
                </a:solidFill>
              </a:ln>
              <a:effectLst/>
            </c:spPr>
          </c:marker>
          <c:cat>
            <c:numRef>
              <c:f>Slides!$L$198:$Q$198</c:f>
              <c:numCache>
                <c:formatCode>General</c:formatCode>
                <c:ptCount val="6"/>
                <c:pt idx="0">
                  <c:v>2027</c:v>
                </c:pt>
                <c:pt idx="1">
                  <c:v>2028</c:v>
                </c:pt>
                <c:pt idx="2">
                  <c:v>2029</c:v>
                </c:pt>
                <c:pt idx="3">
                  <c:v>2030</c:v>
                </c:pt>
                <c:pt idx="4">
                  <c:v>2031</c:v>
                </c:pt>
                <c:pt idx="5">
                  <c:v>2032</c:v>
                </c:pt>
              </c:numCache>
            </c:numRef>
          </c:cat>
          <c:val>
            <c:numRef>
              <c:f>'(AUSBLENDEN) Bewertung'!$H$77:$M$77</c:f>
              <c:numCache>
                <c:formatCode>0.00%</c:formatCode>
                <c:ptCount val="6"/>
                <c:pt idx="0">
                  <c:v>9.1916465268942066E-2</c:v>
                </c:pt>
                <c:pt idx="1">
                  <c:v>8.9260507828864313E-2</c:v>
                </c:pt>
                <c:pt idx="2">
                  <c:v>8.9393982836475538E-2</c:v>
                </c:pt>
                <c:pt idx="3">
                  <c:v>8.9499040190375814E-2</c:v>
                </c:pt>
                <c:pt idx="4">
                  <c:v>8.9577111806724841E-2</c:v>
                </c:pt>
                <c:pt idx="5">
                  <c:v>8.9628389792870564E-2</c:v>
                </c:pt>
              </c:numCache>
            </c:numRef>
          </c:val>
          <c:smooth val="0"/>
          <c:extLst>
            <c:ext xmlns:c16="http://schemas.microsoft.com/office/drawing/2014/chart" uri="{C3380CC4-5D6E-409C-BE32-E72D297353CC}">
              <c16:uniqueId val="{00000001-06EA-40A2-A4DE-56E5BA83D4EA}"/>
            </c:ext>
          </c:extLst>
        </c:ser>
        <c:dLbls>
          <c:showLegendKey val="0"/>
          <c:showVal val="0"/>
          <c:showCatName val="0"/>
          <c:showSerName val="0"/>
          <c:showPercent val="0"/>
          <c:showBubbleSize val="0"/>
        </c:dLbls>
        <c:marker val="1"/>
        <c:smooth val="0"/>
        <c:axId val="1412359168"/>
        <c:axId val="1412355808"/>
      </c:lineChart>
      <c:catAx>
        <c:axId val="1412359168"/>
        <c:scaling>
          <c:orientation val="minMax"/>
        </c:scaling>
        <c:delete val="1"/>
        <c:axPos val="b"/>
        <c:numFmt formatCode="General" sourceLinked="1"/>
        <c:majorTickMark val="none"/>
        <c:minorTickMark val="none"/>
        <c:tickLblPos val="nextTo"/>
        <c:crossAx val="1412355808"/>
        <c:crosses val="autoZero"/>
        <c:auto val="1"/>
        <c:lblAlgn val="ctr"/>
        <c:lblOffset val="100"/>
        <c:noMultiLvlLbl val="0"/>
      </c:catAx>
      <c:valAx>
        <c:axId val="141235580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12359168"/>
        <c:crosses val="autoZero"/>
        <c:crossBetween val="between"/>
      </c:valAx>
      <c:dTable>
        <c:showHorzBorder val="0"/>
        <c:showVertBorder val="1"/>
        <c:showOutline val="0"/>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de-DE"/>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lumMod val="65000"/>
                    <a:lumOff val="35000"/>
                  </a:schemeClr>
                </a:solidFill>
                <a:latin typeface="+mn-lt"/>
                <a:ea typeface="+mn-ea"/>
                <a:cs typeface="+mn-cs"/>
              </a:defRPr>
            </a:pPr>
            <a:r>
              <a:rPr lang="de-DE" sz="1050" b="1"/>
              <a:t>Chart</a:t>
            </a:r>
            <a:r>
              <a:rPr lang="de-DE" sz="1050" b="1" baseline="0"/>
              <a:t> 3: Unternehmenswert in Abhängikgeit von Wachstum und Ausfallwahrscheinlichkeit</a:t>
            </a:r>
            <a:endParaRPr lang="de-DE" sz="1050" b="1"/>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1"/>
          <c:order val="0"/>
          <c:tx>
            <c:strRef>
              <c:f>Slides!$G$276</c:f>
              <c:strCache>
                <c:ptCount val="1"/>
                <c:pt idx="0">
                  <c:v>Weiß</c:v>
                </c:pt>
              </c:strCache>
            </c:strRef>
          </c:tx>
          <c:spPr>
            <a:solidFill>
              <a:sysClr val="window" lastClr="FFFFFF"/>
            </a:solidFill>
            <a:ln>
              <a:noFill/>
            </a:ln>
            <a:effectLst/>
          </c:spPr>
          <c:invertIfNegative val="0"/>
          <c:cat>
            <c:numRef>
              <c:f>Slides!$F$277:$F$281</c:f>
              <c:numCache>
                <c:formatCode>0.00%</c:formatCode>
                <c:ptCount val="5"/>
                <c:pt idx="0">
                  <c:v>4.9999999999999984E-3</c:v>
                </c:pt>
                <c:pt idx="1">
                  <c:v>9.9999999999999985E-3</c:v>
                </c:pt>
                <c:pt idx="2" formatCode="0.0%\ &quot; Base Case&quot;">
                  <c:v>1.4999999999999999E-2</c:v>
                </c:pt>
                <c:pt idx="3">
                  <c:v>0.02</c:v>
                </c:pt>
                <c:pt idx="4">
                  <c:v>2.5000000000000001E-2</c:v>
                </c:pt>
              </c:numCache>
            </c:numRef>
          </c:cat>
          <c:val>
            <c:numRef>
              <c:f>Slides!$G$277:$G$281</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2BFD-48A7-B0F4-6A3E2F029E4C}"/>
            </c:ext>
          </c:extLst>
        </c:ser>
        <c:ser>
          <c:idx val="2"/>
          <c:order val="1"/>
          <c:tx>
            <c:strRef>
              <c:f>Slides!$H$276</c:f>
              <c:strCache>
                <c:ptCount val="1"/>
                <c:pt idx="0">
                  <c:v>Farbe</c:v>
                </c:pt>
              </c:strCache>
            </c:strRef>
          </c:tx>
          <c:spPr>
            <a:solidFill>
              <a:srgbClr val="002060"/>
            </a:solidFill>
            <a:ln>
              <a:noFill/>
            </a:ln>
            <a:effectLst/>
          </c:spPr>
          <c:invertIfNegative val="0"/>
          <c:dPt>
            <c:idx val="2"/>
            <c:invertIfNegative val="0"/>
            <c:bubble3D val="0"/>
            <c:spPr>
              <a:solidFill>
                <a:srgbClr val="FFC000"/>
              </a:solidFill>
              <a:ln>
                <a:noFill/>
              </a:ln>
              <a:effectLst/>
            </c:spPr>
            <c:extLst>
              <c:ext xmlns:c16="http://schemas.microsoft.com/office/drawing/2014/chart" uri="{C3380CC4-5D6E-409C-BE32-E72D297353CC}">
                <c16:uniqueId val="{00000002-2BFD-48A7-B0F4-6A3E2F029E4C}"/>
              </c:ext>
            </c:extLst>
          </c:dPt>
          <c:cat>
            <c:numRef>
              <c:f>Slides!$F$277:$F$281</c:f>
              <c:numCache>
                <c:formatCode>0.00%</c:formatCode>
                <c:ptCount val="5"/>
                <c:pt idx="0">
                  <c:v>4.9999999999999984E-3</c:v>
                </c:pt>
                <c:pt idx="1">
                  <c:v>9.9999999999999985E-3</c:v>
                </c:pt>
                <c:pt idx="2" formatCode="0.0%\ &quot; Base Case&quot;">
                  <c:v>1.4999999999999999E-2</c:v>
                </c:pt>
                <c:pt idx="3">
                  <c:v>0.02</c:v>
                </c:pt>
                <c:pt idx="4">
                  <c:v>2.5000000000000001E-2</c:v>
                </c:pt>
              </c:numCache>
            </c:numRef>
          </c:cat>
          <c:val>
            <c:numRef>
              <c:f>Slides!$H$277:$H$281</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3-2BFD-48A7-B0F4-6A3E2F029E4C}"/>
            </c:ext>
          </c:extLst>
        </c:ser>
        <c:dLbls>
          <c:showLegendKey val="0"/>
          <c:showVal val="0"/>
          <c:showCatName val="0"/>
          <c:showSerName val="0"/>
          <c:showPercent val="0"/>
          <c:showBubbleSize val="0"/>
        </c:dLbls>
        <c:gapWidth val="150"/>
        <c:overlap val="100"/>
        <c:axId val="1336605199"/>
        <c:axId val="1336605679"/>
      </c:barChart>
      <c:catAx>
        <c:axId val="1336605199"/>
        <c:scaling>
          <c:orientation val="minMax"/>
        </c:scaling>
        <c:delete val="0"/>
        <c:axPos val="b"/>
        <c:numFmt formatCode="0.0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336605679"/>
        <c:crosses val="autoZero"/>
        <c:auto val="1"/>
        <c:lblAlgn val="ctr"/>
        <c:lblOffset val="100"/>
        <c:noMultiLvlLbl val="0"/>
      </c:catAx>
      <c:valAx>
        <c:axId val="1336605679"/>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in Tsd. EUro</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33660519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0"/>
          <a:lstStyle/>
          <a:p>
            <a:pPr>
              <a:defRPr sz="1000" b="1" i="0" u="none" strike="noStrike" kern="1200" spc="0" baseline="0">
                <a:solidFill>
                  <a:schemeClr val="tx1">
                    <a:lumMod val="65000"/>
                    <a:lumOff val="35000"/>
                  </a:schemeClr>
                </a:solidFill>
                <a:latin typeface="+mn-lt"/>
                <a:ea typeface="+mn-ea"/>
                <a:cs typeface="+mn-cs"/>
              </a:defRPr>
            </a:pPr>
            <a:r>
              <a:rPr lang="de-DE" sz="1000" b="1"/>
              <a:t>Chart 2: Eigenkapital- und Fremdkapitalquote zu Marktwerten</a:t>
            </a:r>
          </a:p>
        </c:rich>
      </c:tx>
      <c:overlay val="0"/>
      <c:spPr>
        <a:noFill/>
        <a:ln>
          <a:noFill/>
        </a:ln>
        <a:effectLst/>
      </c:spPr>
      <c:txPr>
        <a:bodyPr rot="0" spcFirstLastPara="1" vertOverflow="ellipsis" vert="horz" wrap="square" anchor="ctr" anchorCtr="0"/>
        <a:lstStyle/>
        <a:p>
          <a:pPr>
            <a:defRPr sz="10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'(AUSBLENDEN) Bewertung'!$C$56</c:f>
              <c:strCache>
                <c:ptCount val="1"/>
                <c:pt idx="0">
                  <c:v>Eigenkapitalquote</c:v>
                </c:pt>
              </c:strCache>
            </c:strRef>
          </c:tx>
          <c:spPr>
            <a:ln w="19050" cap="rnd">
              <a:solidFill>
                <a:srgbClr val="002060"/>
              </a:solidFill>
              <a:round/>
            </a:ln>
            <a:effectLst/>
          </c:spPr>
          <c:marker>
            <c:symbol val="diamond"/>
            <c:size val="4"/>
            <c:spPr>
              <a:solidFill>
                <a:srgbClr val="FFC000"/>
              </a:solidFill>
              <a:ln w="9525">
                <a:solidFill>
                  <a:srgbClr val="FFC000"/>
                </a:solidFill>
              </a:ln>
              <a:effectLst/>
            </c:spPr>
          </c:marker>
          <c:cat>
            <c:numRef>
              <c:f>'(AUSBLENDEN) Bewertung'!$H$44:$M$44</c:f>
              <c:numCache>
                <c:formatCode>General</c:formatCode>
                <c:ptCount val="6"/>
                <c:pt idx="0">
                  <c:v>2027</c:v>
                </c:pt>
                <c:pt idx="1">
                  <c:v>2028</c:v>
                </c:pt>
                <c:pt idx="2">
                  <c:v>2029</c:v>
                </c:pt>
                <c:pt idx="3">
                  <c:v>2030</c:v>
                </c:pt>
                <c:pt idx="4">
                  <c:v>2031</c:v>
                </c:pt>
                <c:pt idx="5" formatCode="###0&quot; ff.&quot;">
                  <c:v>2032</c:v>
                </c:pt>
              </c:numCache>
            </c:numRef>
          </c:cat>
          <c:val>
            <c:numRef>
              <c:f>'(AUSBLENDEN) Bewertung'!$H$56:$M$56</c:f>
              <c:numCache>
                <c:formatCode>0.00%</c:formatCode>
                <c:ptCount val="6"/>
                <c:pt idx="0">
                  <c:v>0.9403719779222961</c:v>
                </c:pt>
                <c:pt idx="1">
                  <c:v>0.668975126209154</c:v>
                </c:pt>
                <c:pt idx="2">
                  <c:v>0.68261416134633224</c:v>
                </c:pt>
                <c:pt idx="3">
                  <c:v>0.69334936164269356</c:v>
                </c:pt>
                <c:pt idx="4">
                  <c:v>0.70132704628686493</c:v>
                </c:pt>
                <c:pt idx="5">
                  <c:v>0.70656684561201388</c:v>
                </c:pt>
              </c:numCache>
            </c:numRef>
          </c:val>
          <c:smooth val="0"/>
          <c:extLst>
            <c:ext xmlns:c16="http://schemas.microsoft.com/office/drawing/2014/chart" uri="{C3380CC4-5D6E-409C-BE32-E72D297353CC}">
              <c16:uniqueId val="{00000000-D041-49EA-9DF6-10D50414538F}"/>
            </c:ext>
          </c:extLst>
        </c:ser>
        <c:ser>
          <c:idx val="1"/>
          <c:order val="1"/>
          <c:tx>
            <c:strRef>
              <c:f>'(AUSBLENDEN) Bewertung'!$C$55</c:f>
              <c:strCache>
                <c:ptCount val="1"/>
                <c:pt idx="0">
                  <c:v>Netto-Fremdkapitalquote</c:v>
                </c:pt>
              </c:strCache>
            </c:strRef>
          </c:tx>
          <c:spPr>
            <a:ln w="19050" cap="rnd">
              <a:solidFill>
                <a:srgbClr val="C00000"/>
              </a:solidFill>
              <a:round/>
            </a:ln>
            <a:effectLst/>
          </c:spPr>
          <c:marker>
            <c:symbol val="diamond"/>
            <c:size val="3"/>
            <c:spPr>
              <a:solidFill>
                <a:schemeClr val="bg2">
                  <a:lumMod val="50000"/>
                </a:schemeClr>
              </a:solidFill>
              <a:ln w="9525">
                <a:solidFill>
                  <a:schemeClr val="bg2">
                    <a:lumMod val="50000"/>
                  </a:schemeClr>
                </a:solidFill>
              </a:ln>
              <a:effectLst/>
            </c:spPr>
          </c:marker>
          <c:cat>
            <c:numRef>
              <c:f>'(AUSBLENDEN) Bewertung'!$H$44:$M$44</c:f>
              <c:numCache>
                <c:formatCode>General</c:formatCode>
                <c:ptCount val="6"/>
                <c:pt idx="0">
                  <c:v>2027</c:v>
                </c:pt>
                <c:pt idx="1">
                  <c:v>2028</c:v>
                </c:pt>
                <c:pt idx="2">
                  <c:v>2029</c:v>
                </c:pt>
                <c:pt idx="3">
                  <c:v>2030</c:v>
                </c:pt>
                <c:pt idx="4">
                  <c:v>2031</c:v>
                </c:pt>
                <c:pt idx="5" formatCode="###0&quot; ff.&quot;">
                  <c:v>2032</c:v>
                </c:pt>
              </c:numCache>
            </c:numRef>
          </c:cat>
          <c:val>
            <c:numRef>
              <c:f>'(AUSBLENDEN) Bewertung'!$H$55:$M$55</c:f>
              <c:numCache>
                <c:formatCode>0.00%</c:formatCode>
                <c:ptCount val="6"/>
                <c:pt idx="0">
                  <c:v>5.962802207770395E-2</c:v>
                </c:pt>
                <c:pt idx="1">
                  <c:v>0.33102487379084594</c:v>
                </c:pt>
                <c:pt idx="2">
                  <c:v>0.31738583865366776</c:v>
                </c:pt>
                <c:pt idx="3">
                  <c:v>0.30665063835730644</c:v>
                </c:pt>
                <c:pt idx="4">
                  <c:v>0.29867295371313507</c:v>
                </c:pt>
                <c:pt idx="5">
                  <c:v>0.29343315438798617</c:v>
                </c:pt>
              </c:numCache>
            </c:numRef>
          </c:val>
          <c:smooth val="0"/>
          <c:extLst>
            <c:ext xmlns:c16="http://schemas.microsoft.com/office/drawing/2014/chart" uri="{C3380CC4-5D6E-409C-BE32-E72D297353CC}">
              <c16:uniqueId val="{00000001-D041-49EA-9DF6-10D50414538F}"/>
            </c:ext>
          </c:extLst>
        </c:ser>
        <c:dLbls>
          <c:showLegendKey val="0"/>
          <c:showVal val="0"/>
          <c:showCatName val="0"/>
          <c:showSerName val="0"/>
          <c:showPercent val="0"/>
          <c:showBubbleSize val="0"/>
        </c:dLbls>
        <c:marker val="1"/>
        <c:smooth val="0"/>
        <c:axId val="1135951408"/>
        <c:axId val="1135943248"/>
      </c:lineChart>
      <c:catAx>
        <c:axId val="1135951408"/>
        <c:scaling>
          <c:orientation val="minMax"/>
        </c:scaling>
        <c:delete val="1"/>
        <c:axPos val="b"/>
        <c:numFmt formatCode="General" sourceLinked="1"/>
        <c:majorTickMark val="none"/>
        <c:minorTickMark val="none"/>
        <c:tickLblPos val="nextTo"/>
        <c:crossAx val="1135943248"/>
        <c:crosses val="autoZero"/>
        <c:auto val="1"/>
        <c:lblAlgn val="ctr"/>
        <c:lblOffset val="100"/>
        <c:noMultiLvlLbl val="0"/>
      </c:catAx>
      <c:valAx>
        <c:axId val="113594324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in"/>
        <c:minorTickMark val="none"/>
        <c:tickLblPos val="nextTo"/>
        <c:spPr>
          <a:noFill/>
          <a:ln>
            <a:solidFill>
              <a:schemeClr val="bg1">
                <a:lumMod val="6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135951408"/>
        <c:crosses val="autoZero"/>
        <c:crossBetween val="between"/>
      </c:valAx>
      <c:dTable>
        <c:showHorzBorder val="0"/>
        <c:showVertBorder val="1"/>
        <c:showOutline val="0"/>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de-DE"/>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lumMod val="65000"/>
                    <a:lumOff val="35000"/>
                  </a:schemeClr>
                </a:solidFill>
                <a:latin typeface="+mn-lt"/>
                <a:ea typeface="+mn-ea"/>
                <a:cs typeface="+mn-cs"/>
              </a:defRPr>
            </a:pPr>
            <a:r>
              <a:rPr lang="de-DE" sz="1000" b="1"/>
              <a:t>Chart 4:</a:t>
            </a:r>
            <a:r>
              <a:rPr lang="de-DE" sz="1000" b="1" baseline="0"/>
              <a:t> Kapitalrendite (RONIC) vs. Kapitalkosten (WACC)</a:t>
            </a:r>
            <a:endParaRPr lang="de-DE" sz="1000" b="1"/>
          </a:p>
        </c:rich>
      </c:tx>
      <c:overlay val="0"/>
      <c:spPr>
        <a:noFill/>
        <a:ln>
          <a:noFill/>
        </a:ln>
        <a:effectLst/>
      </c:spPr>
      <c:txPr>
        <a:bodyPr rot="0" spcFirstLastPara="1" vertOverflow="ellipsis" vert="horz" wrap="square" anchor="ctr" anchorCtr="1"/>
        <a:lstStyle/>
        <a:p>
          <a:pPr>
            <a:defRPr sz="10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Ergebnis!$C$138</c:f>
              <c:strCache>
                <c:ptCount val="1"/>
                <c:pt idx="0">
                  <c:v>Return on new Investment RONIC</c:v>
                </c:pt>
              </c:strCache>
            </c:strRef>
          </c:tx>
          <c:spPr>
            <a:ln w="28575" cap="rnd">
              <a:solidFill>
                <a:schemeClr val="accent1"/>
              </a:solidFill>
              <a:round/>
            </a:ln>
            <a:effectLst/>
          </c:spPr>
          <c:marker>
            <c:symbol val="diamond"/>
            <c:size val="3"/>
            <c:spPr>
              <a:solidFill>
                <a:srgbClr val="FFC000"/>
              </a:solidFill>
              <a:ln w="9525">
                <a:solidFill>
                  <a:srgbClr val="FFC000"/>
                </a:solidFill>
              </a:ln>
              <a:effectLst/>
            </c:spPr>
          </c:marker>
          <c:val>
            <c:numRef>
              <c:f>Ergebnis!$K$138:$P$138</c:f>
            </c:numRef>
          </c:val>
          <c:smooth val="0"/>
          <c:extLst>
            <c:ext xmlns:c15="http://schemas.microsoft.com/office/drawing/2012/chart" uri="{02D57815-91ED-43cb-92C2-25804820EDAC}">
              <c15:filteredCategoryTitle>
                <c15:cat>
                  <c:multiLvlStrRef>
                    <c:extLst>
                      <c:ext uri="{02D57815-91ED-43cb-92C2-25804820EDAC}">
                        <c15:formulaRef>
                          <c15:sqref>Ergebnis!$K$95:$P$95</c15:sqref>
                        </c15:formulaRef>
                      </c:ext>
                    </c:extLst>
                  </c:multiLvlStrRef>
                </c15:cat>
              </c15:filteredCategoryTitle>
            </c:ext>
            <c:ext xmlns:c16="http://schemas.microsoft.com/office/drawing/2014/chart" uri="{C3380CC4-5D6E-409C-BE32-E72D297353CC}">
              <c16:uniqueId val="{00000000-4406-4377-8F54-1A488DC928A7}"/>
            </c:ext>
          </c:extLst>
        </c:ser>
        <c:ser>
          <c:idx val="1"/>
          <c:order val="1"/>
          <c:tx>
            <c:strRef>
              <c:f>'(AUSBLENDEN) Bewertung'!$C$77</c:f>
              <c:strCache>
                <c:ptCount val="1"/>
                <c:pt idx="0">
                  <c:v>WACC</c:v>
                </c:pt>
              </c:strCache>
            </c:strRef>
          </c:tx>
          <c:spPr>
            <a:ln w="19050" cap="rnd">
              <a:solidFill>
                <a:srgbClr val="C00000"/>
              </a:solidFill>
              <a:round/>
            </a:ln>
            <a:effectLst/>
          </c:spPr>
          <c:marker>
            <c:symbol val="diamond"/>
            <c:size val="3"/>
            <c:spPr>
              <a:solidFill>
                <a:schemeClr val="bg2">
                  <a:lumMod val="50000"/>
                </a:schemeClr>
              </a:solidFill>
              <a:ln w="9525">
                <a:solidFill>
                  <a:schemeClr val="bg2">
                    <a:lumMod val="50000"/>
                  </a:schemeClr>
                </a:solidFill>
              </a:ln>
              <a:effectLst/>
            </c:spPr>
          </c:marker>
          <c:val>
            <c:numRef>
              <c:f>'(AUSBLENDEN) Bewertung'!$H$77:$M$77</c:f>
              <c:numCache>
                <c:formatCode>0.00%</c:formatCode>
                <c:ptCount val="6"/>
                <c:pt idx="0">
                  <c:v>9.1916465268942066E-2</c:v>
                </c:pt>
                <c:pt idx="1">
                  <c:v>8.9260507828864313E-2</c:v>
                </c:pt>
                <c:pt idx="2">
                  <c:v>8.9393982836475538E-2</c:v>
                </c:pt>
                <c:pt idx="3">
                  <c:v>8.9499040190375814E-2</c:v>
                </c:pt>
                <c:pt idx="4">
                  <c:v>8.9577111806724841E-2</c:v>
                </c:pt>
                <c:pt idx="5">
                  <c:v>8.9628389792870564E-2</c:v>
                </c:pt>
              </c:numCache>
            </c:numRef>
          </c:val>
          <c:smooth val="0"/>
          <c:extLst>
            <c:ext xmlns:c15="http://schemas.microsoft.com/office/drawing/2012/chart" uri="{02D57815-91ED-43cb-92C2-25804820EDAC}">
              <c15:filteredCategoryTitle>
                <c15:cat>
                  <c:multiLvlStrRef>
                    <c:extLst>
                      <c:ext uri="{02D57815-91ED-43cb-92C2-25804820EDAC}">
                        <c15:formulaRef>
                          <c15:sqref>Ergebnis!$K$95:$P$95</c15:sqref>
                        </c15:formulaRef>
                      </c:ext>
                    </c:extLst>
                  </c:multiLvlStrRef>
                </c15:cat>
              </c15:filteredCategoryTitle>
            </c:ext>
            <c:ext xmlns:c16="http://schemas.microsoft.com/office/drawing/2014/chart" uri="{C3380CC4-5D6E-409C-BE32-E72D297353CC}">
              <c16:uniqueId val="{00000001-4406-4377-8F54-1A488DC928A7}"/>
            </c:ext>
          </c:extLst>
        </c:ser>
        <c:dLbls>
          <c:showLegendKey val="0"/>
          <c:showVal val="0"/>
          <c:showCatName val="0"/>
          <c:showSerName val="0"/>
          <c:showPercent val="0"/>
          <c:showBubbleSize val="0"/>
        </c:dLbls>
        <c:marker val="1"/>
        <c:smooth val="0"/>
        <c:axId val="1412359168"/>
        <c:axId val="1412355808"/>
      </c:lineChart>
      <c:catAx>
        <c:axId val="1412359168"/>
        <c:scaling>
          <c:orientation val="minMax"/>
        </c:scaling>
        <c:delete val="1"/>
        <c:axPos val="b"/>
        <c:numFmt formatCode="General" sourceLinked="1"/>
        <c:majorTickMark val="none"/>
        <c:minorTickMark val="none"/>
        <c:tickLblPos val="nextTo"/>
        <c:crossAx val="1412355808"/>
        <c:crosses val="autoZero"/>
        <c:auto val="1"/>
        <c:lblAlgn val="ctr"/>
        <c:lblOffset val="100"/>
        <c:noMultiLvlLbl val="0"/>
      </c:catAx>
      <c:valAx>
        <c:axId val="141235580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12359168"/>
        <c:crosses val="autoZero"/>
        <c:crossBetween val="between"/>
      </c:valAx>
      <c:dTable>
        <c:showHorzBorder val="0"/>
        <c:showVertBorder val="1"/>
        <c:showOutline val="0"/>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de-DE"/>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latin typeface="Calibri" panose="020F0502020204030204" pitchFamily="34" charset="0"/>
                <a:ea typeface="Calibri" panose="020F0502020204030204" pitchFamily="34" charset="0"/>
                <a:cs typeface="Calibri" panose="020F0502020204030204" pitchFamily="34" charset="0"/>
              </a:rPr>
              <a:t>Chart 1: Ihr Unternehmenswert im Branchenvergleich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v>weiß</c:v>
          </c:tx>
          <c:spPr>
            <a:noFill/>
            <a:ln>
              <a:noFill/>
            </a:ln>
            <a:effectLst/>
          </c:spPr>
          <c:invertIfNegative val="0"/>
          <c:cat>
            <c:strLit>
              <c:ptCount val="1"/>
              <c:pt idx="0">
                <c:v>Unternehmenswert</c:v>
              </c:pt>
            </c:strLit>
          </c:cat>
          <c:val>
            <c:numRef>
              <c:f>Ergebnis!$G$191</c:f>
              <c:numCache>
                <c:formatCode>#,##0.0</c:formatCode>
                <c:ptCount val="1"/>
                <c:pt idx="0">
                  <c:v>826.11666666666702</c:v>
                </c:pt>
              </c:numCache>
            </c:numRef>
          </c:val>
          <c:extLst>
            <c:ext xmlns:c16="http://schemas.microsoft.com/office/drawing/2014/chart" uri="{C3380CC4-5D6E-409C-BE32-E72D297353CC}">
              <c16:uniqueId val="{00000001-8964-4966-8F6B-CC8D9DB826B6}"/>
            </c:ext>
          </c:extLst>
        </c:ser>
        <c:ser>
          <c:idx val="1"/>
          <c:order val="1"/>
          <c:tx>
            <c:v>farbe</c:v>
          </c:tx>
          <c:spPr>
            <a:solidFill>
              <a:schemeClr val="accent2"/>
            </a:solidFill>
            <a:ln>
              <a:noFill/>
            </a:ln>
            <a:effectLst/>
          </c:spPr>
          <c:invertIfNegative val="0"/>
          <c:dPt>
            <c:idx val="0"/>
            <c:invertIfNegative val="0"/>
            <c:bubble3D val="0"/>
            <c:spPr>
              <a:solidFill>
                <a:srgbClr val="0047AB"/>
              </a:solidFill>
              <a:ln>
                <a:noFill/>
              </a:ln>
              <a:effectLst/>
            </c:spPr>
            <c:extLst>
              <c:ext xmlns:c16="http://schemas.microsoft.com/office/drawing/2014/chart" uri="{C3380CC4-5D6E-409C-BE32-E72D297353CC}">
                <c16:uniqueId val="{00000007-8964-4966-8F6B-CC8D9DB826B6}"/>
              </c:ext>
            </c:extLst>
          </c:dPt>
          <c:cat>
            <c:strLit>
              <c:ptCount val="1"/>
              <c:pt idx="0">
                <c:v>Unternehmenswert</c:v>
              </c:pt>
            </c:strLit>
          </c:cat>
          <c:val>
            <c:numRef>
              <c:f>Ergebnis!$H$191</c:f>
              <c:numCache>
                <c:formatCode>#,##0.0</c:formatCode>
                <c:ptCount val="1"/>
                <c:pt idx="0">
                  <c:v>236.0333333333333</c:v>
                </c:pt>
              </c:numCache>
            </c:numRef>
          </c:val>
          <c:extLst>
            <c:ext xmlns:c16="http://schemas.microsoft.com/office/drawing/2014/chart" uri="{C3380CC4-5D6E-409C-BE32-E72D297353CC}">
              <c16:uniqueId val="{00000003-8964-4966-8F6B-CC8D9DB826B6}"/>
            </c:ext>
          </c:extLst>
        </c:ser>
        <c:dLbls>
          <c:showLegendKey val="0"/>
          <c:showVal val="0"/>
          <c:showCatName val="0"/>
          <c:showSerName val="0"/>
          <c:showPercent val="0"/>
          <c:showBubbleSize val="0"/>
        </c:dLbls>
        <c:gapWidth val="219"/>
        <c:overlap val="100"/>
        <c:axId val="1138360888"/>
        <c:axId val="1138362688"/>
      </c:barChart>
      <c:scatterChart>
        <c:scatterStyle val="lineMarker"/>
        <c:varyColors val="0"/>
        <c:ser>
          <c:idx val="2"/>
          <c:order val="2"/>
          <c:tx>
            <c:v>Wert</c:v>
          </c:tx>
          <c:spPr>
            <a:ln w="25400" cap="rnd">
              <a:noFill/>
              <a:round/>
            </a:ln>
            <a:effectLst/>
          </c:spPr>
          <c:marker>
            <c:symbol val="plus"/>
            <c:size val="15"/>
            <c:spPr>
              <a:noFill/>
              <a:ln w="50800">
                <a:solidFill>
                  <a:srgbClr val="FFDC6D"/>
                </a:solidFill>
              </a:ln>
              <a:effectLst/>
            </c:spPr>
          </c:marker>
          <c:dLbls>
            <c:dLbl>
              <c:idx val="0"/>
              <c:layout>
                <c:manualLayout>
                  <c:x val="0.21638091568740769"/>
                  <c:y val="0.1843698669710372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964-4966-8F6B-CC8D9DB826B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Lit>
              <c:ptCount val="1"/>
              <c:pt idx="0">
                <c:v>Unternehmenswert</c:v>
              </c:pt>
            </c:strLit>
          </c:xVal>
          <c:yVal>
            <c:numRef>
              <c:f>Ergebnis!$F$191</c:f>
              <c:numCache>
                <c:formatCode>#,##0.0</c:formatCode>
                <c:ptCount val="1"/>
                <c:pt idx="0">
                  <c:v>1592.2573597678654</c:v>
                </c:pt>
              </c:numCache>
            </c:numRef>
          </c:yVal>
          <c:smooth val="0"/>
          <c:extLst>
            <c:ext xmlns:c16="http://schemas.microsoft.com/office/drawing/2014/chart" uri="{C3380CC4-5D6E-409C-BE32-E72D297353CC}">
              <c16:uniqueId val="{00000006-8964-4966-8F6B-CC8D9DB826B6}"/>
            </c:ext>
          </c:extLst>
        </c:ser>
        <c:dLbls>
          <c:showLegendKey val="0"/>
          <c:showVal val="0"/>
          <c:showCatName val="0"/>
          <c:showSerName val="0"/>
          <c:showPercent val="0"/>
          <c:showBubbleSize val="0"/>
        </c:dLbls>
        <c:axId val="1138360888"/>
        <c:axId val="1138362688"/>
      </c:scatterChart>
      <c:catAx>
        <c:axId val="1138360888"/>
        <c:scaling>
          <c:orientation val="minMax"/>
        </c:scaling>
        <c:delete val="0"/>
        <c:axPos val="b"/>
        <c:majorGridlines>
          <c:spPr>
            <a:ln w="9525" cap="flat" cmpd="sng" algn="ctr">
              <a:solidFill>
                <a:schemeClr val="tx1"/>
              </a:solidFill>
              <a:round/>
            </a:ln>
            <a:effectLst/>
          </c:spPr>
        </c:majorGridlines>
        <c:minorGridlines>
          <c:spPr>
            <a:ln w="9525" cap="flat" cmpd="sng" algn="ctr">
              <a:solidFill>
                <a:schemeClr val="tx1"/>
              </a:solidFill>
              <a:round/>
            </a:ln>
            <a:effectLst/>
          </c:spPr>
        </c:minorGridlines>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138362688"/>
        <c:crosses val="autoZero"/>
        <c:auto val="1"/>
        <c:lblAlgn val="ctr"/>
        <c:lblOffset val="100"/>
        <c:noMultiLvlLbl val="0"/>
      </c:catAx>
      <c:valAx>
        <c:axId val="1138362688"/>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in Tsd.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13836088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de-DE" b="1"/>
              <a:t>Chart</a:t>
            </a:r>
            <a:r>
              <a:rPr lang="de-DE" b="1" baseline="0"/>
              <a:t> 2:  Entwicklung des freien Zahlungsflußes in der Planungsphase</a:t>
            </a:r>
            <a:endParaRPr lang="de-DE"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5.3684146440457832E-2"/>
          <c:y val="4.7235633452836892E-2"/>
          <c:w val="0.9063587412398193"/>
          <c:h val="0.82913982642711781"/>
        </c:manualLayout>
      </c:layout>
      <c:barChart>
        <c:barDir val="col"/>
        <c:grouping val="stacked"/>
        <c:varyColors val="0"/>
        <c:ser>
          <c:idx val="1"/>
          <c:order val="0"/>
          <c:tx>
            <c:strRef>
              <c:f>'4. Input_Plan'!$C$170</c:f>
              <c:strCache>
                <c:ptCount val="1"/>
                <c:pt idx="0">
                  <c:v>Cashflow aus operativer Tätigkeit</c:v>
                </c:pt>
              </c:strCache>
            </c:strRef>
          </c:tx>
          <c:spPr>
            <a:solidFill>
              <a:srgbClr val="FFC000"/>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'4. Input_Plan'!$K$166:$P$166</c:f>
              <c:numCache>
                <c:formatCode>General</c:formatCode>
                <c:ptCount val="6"/>
                <c:pt idx="0">
                  <c:v>2027</c:v>
                </c:pt>
                <c:pt idx="1">
                  <c:v>2028</c:v>
                </c:pt>
                <c:pt idx="2">
                  <c:v>2029</c:v>
                </c:pt>
                <c:pt idx="3">
                  <c:v>2030</c:v>
                </c:pt>
                <c:pt idx="4">
                  <c:v>2031</c:v>
                </c:pt>
                <c:pt idx="5" formatCode="###0&quot; ff.&quot;">
                  <c:v>2032</c:v>
                </c:pt>
              </c:numCache>
            </c:numRef>
          </c:cat>
          <c:val>
            <c:numRef>
              <c:f>'4. Input_Plan'!$K$170:$P$170</c:f>
              <c:numCache>
                <c:formatCode>#,##0</c:formatCode>
                <c:ptCount val="6"/>
                <c:pt idx="0">
                  <c:v>196.5885604523809</c:v>
                </c:pt>
                <c:pt idx="1">
                  <c:v>203.33884565071435</c:v>
                </c:pt>
                <c:pt idx="2">
                  <c:v>228.90650217701437</c:v>
                </c:pt>
                <c:pt idx="3">
                  <c:v>255.92685379445538</c:v>
                </c:pt>
                <c:pt idx="4">
                  <c:v>284.47583171736653</c:v>
                </c:pt>
                <c:pt idx="5">
                  <c:v>298.35114412400833</c:v>
                </c:pt>
              </c:numCache>
            </c:numRef>
          </c:val>
          <c:extLst>
            <c:ext xmlns:c16="http://schemas.microsoft.com/office/drawing/2014/chart" uri="{C3380CC4-5D6E-409C-BE32-E72D297353CC}">
              <c16:uniqueId val="{00000004-078B-443C-A300-78F4820600A3}"/>
            </c:ext>
          </c:extLst>
        </c:ser>
        <c:ser>
          <c:idx val="0"/>
          <c:order val="1"/>
          <c:tx>
            <c:strRef>
              <c:f>Ergebnis!$C$196</c:f>
              <c:strCache>
                <c:ptCount val="1"/>
                <c:pt idx="0">
                  <c:v>Nettoinvestitionen</c:v>
                </c:pt>
              </c:strCache>
            </c:strRef>
          </c:tx>
          <c:spPr>
            <a:solidFill>
              <a:schemeClr val="accent2"/>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Ergebnis!$F$196:$K$196</c:f>
              <c:numCache>
                <c:formatCode>#,##0</c:formatCode>
                <c:ptCount val="6"/>
                <c:pt idx="0">
                  <c:v>-135.80000000000004</c:v>
                </c:pt>
                <c:pt idx="1">
                  <c:v>-142.59000000000003</c:v>
                </c:pt>
                <c:pt idx="2">
                  <c:v>-149.71950000000004</c:v>
                </c:pt>
                <c:pt idx="3">
                  <c:v>-157.20547500000006</c:v>
                </c:pt>
                <c:pt idx="4">
                  <c:v>-165.06574875000007</c:v>
                </c:pt>
                <c:pt idx="5">
                  <c:v>-167.54173498125004</c:v>
                </c:pt>
              </c:numCache>
            </c:numRef>
          </c:val>
          <c:extLst>
            <c:ext xmlns:c16="http://schemas.microsoft.com/office/drawing/2014/chart" uri="{C3380CC4-5D6E-409C-BE32-E72D297353CC}">
              <c16:uniqueId val="{00000007-078B-443C-A300-78F4820600A3}"/>
            </c:ext>
          </c:extLst>
        </c:ser>
        <c:dLbls>
          <c:showLegendKey val="0"/>
          <c:showVal val="1"/>
          <c:showCatName val="0"/>
          <c:showSerName val="0"/>
          <c:showPercent val="0"/>
          <c:showBubbleSize val="0"/>
        </c:dLbls>
        <c:gapWidth val="150"/>
        <c:overlap val="100"/>
        <c:axId val="1095509744"/>
        <c:axId val="1095510104"/>
        <c:extLst>
          <c:ext xmlns:c15="http://schemas.microsoft.com/office/drawing/2012/chart" uri="{02D57815-91ED-43cb-92C2-25804820EDAC}">
            <c15:filteredBarSeries>
              <c15:ser>
                <c:idx val="2"/>
                <c:order val="2"/>
                <c:tx>
                  <c:strRef>
                    <c:extLst>
                      <c:ext uri="{02D57815-91ED-43cb-92C2-25804820EDAC}">
                        <c15:formulaRef>
                          <c15:sqref>'4. Input_Plan'!$C$180</c15:sqref>
                        </c15:formulaRef>
                      </c:ext>
                    </c:extLst>
                    <c:strCache>
                      <c:ptCount val="1"/>
                      <c:pt idx="0">
                        <c:v>Cashflow aus Finanzierungstätigkeit</c:v>
                      </c:pt>
                    </c:strCache>
                  </c:strRef>
                </c:tx>
                <c:spPr>
                  <a:solidFill>
                    <a:srgbClr val="FF0000"/>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de-DE"/>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uri="{02D57815-91ED-43cb-92C2-25804820EDAC}">
                        <c15:formulaRef>
                          <c15:sqref>'4. Input_Plan'!$K$166:$P$166</c15:sqref>
                        </c15:formulaRef>
                      </c:ext>
                    </c:extLst>
                    <c:numCache>
                      <c:formatCode>General</c:formatCode>
                      <c:ptCount val="6"/>
                      <c:pt idx="0">
                        <c:v>2027</c:v>
                      </c:pt>
                      <c:pt idx="1">
                        <c:v>2028</c:v>
                      </c:pt>
                      <c:pt idx="2">
                        <c:v>2029</c:v>
                      </c:pt>
                      <c:pt idx="3">
                        <c:v>2030</c:v>
                      </c:pt>
                      <c:pt idx="4">
                        <c:v>2031</c:v>
                      </c:pt>
                      <c:pt idx="5" formatCode="###0&quot; ff.&quot;">
                        <c:v>2032</c:v>
                      </c:pt>
                    </c:numCache>
                  </c:numRef>
                </c:cat>
                <c:val>
                  <c:numRef>
                    <c:extLst>
                      <c:ext uri="{02D57815-91ED-43cb-92C2-25804820EDAC}">
                        <c15:formulaRef>
                          <c15:sqref>Ergebnis!$F$197:$K$197</c15:sqref>
                        </c15:formulaRef>
                      </c:ext>
                    </c:extLst>
                    <c:numCache>
                      <c:formatCode>#,##0</c:formatCode>
                      <c:ptCount val="6"/>
                      <c:pt idx="0">
                        <c:v>353.87810621428582</c:v>
                      </c:pt>
                      <c:pt idx="1">
                        <c:v>-60.748845650714344</c:v>
                      </c:pt>
                      <c:pt idx="2">
                        <c:v>-79.187002177014364</c:v>
                      </c:pt>
                      <c:pt idx="3">
                        <c:v>-98.721378794455262</c:v>
                      </c:pt>
                      <c:pt idx="4">
                        <c:v>-119.41008296736635</c:v>
                      </c:pt>
                      <c:pt idx="5">
                        <c:v>-120.58942635369579</c:v>
                      </c:pt>
                    </c:numCache>
                  </c:numRef>
                </c:val>
                <c:extLst>
                  <c:ext xmlns:c16="http://schemas.microsoft.com/office/drawing/2014/chart" uri="{C3380CC4-5D6E-409C-BE32-E72D297353CC}">
                    <c16:uniqueId val="{00000006-078B-443C-A300-78F4820600A3}"/>
                  </c:ext>
                </c:extLst>
              </c15:ser>
            </c15:filteredBarSeries>
          </c:ext>
        </c:extLst>
      </c:barChart>
      <c:lineChart>
        <c:grouping val="stacked"/>
        <c:varyColors val="0"/>
        <c:ser>
          <c:idx val="3"/>
          <c:order val="3"/>
          <c:tx>
            <c:strRef>
              <c:f>Ergebnis!$C$198</c:f>
              <c:strCache>
                <c:ptCount val="1"/>
                <c:pt idx="0">
                  <c:v>Freier Zahlungsstrom</c:v>
                </c:pt>
              </c:strCache>
            </c:strRef>
          </c:tx>
          <c:spPr>
            <a:ln w="28575" cap="rnd">
              <a:solidFill>
                <a:srgbClr val="0070C0"/>
              </a:solidFill>
              <a:prstDash val="dash"/>
              <a:round/>
            </a:ln>
            <a:effectLst/>
          </c:spPr>
          <c:marker>
            <c:symbol val="diamond"/>
            <c:size val="5"/>
            <c:spPr>
              <a:solidFill>
                <a:srgbClr val="0070C0"/>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Ergebnis!$F$198:$K$198</c:f>
              <c:numCache>
                <c:formatCode>#,##0</c:formatCode>
                <c:ptCount val="6"/>
                <c:pt idx="0">
                  <c:v>60.788560452380864</c:v>
                </c:pt>
                <c:pt idx="1">
                  <c:v>60.748845650714316</c:v>
                </c:pt>
                <c:pt idx="2">
                  <c:v>79.187002177014335</c:v>
                </c:pt>
                <c:pt idx="3">
                  <c:v>98.721378794455319</c:v>
                </c:pt>
                <c:pt idx="4">
                  <c:v>119.41008296736646</c:v>
                </c:pt>
                <c:pt idx="5">
                  <c:v>130.80940914275828</c:v>
                </c:pt>
              </c:numCache>
            </c:numRef>
          </c:val>
          <c:smooth val="0"/>
          <c:extLst>
            <c:ext xmlns:c16="http://schemas.microsoft.com/office/drawing/2014/chart" uri="{C3380CC4-5D6E-409C-BE32-E72D297353CC}">
              <c16:uniqueId val="{00000008-078B-443C-A300-78F4820600A3}"/>
            </c:ext>
          </c:extLst>
        </c:ser>
        <c:dLbls>
          <c:showLegendKey val="0"/>
          <c:showVal val="0"/>
          <c:showCatName val="0"/>
          <c:showSerName val="0"/>
          <c:showPercent val="0"/>
          <c:showBubbleSize val="0"/>
        </c:dLbls>
        <c:marker val="1"/>
        <c:smooth val="0"/>
        <c:axId val="514558768"/>
        <c:axId val="514543288"/>
      </c:lineChart>
      <c:catAx>
        <c:axId val="109550974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b" anchorCtr="1"/>
          <a:lstStyle/>
          <a:p>
            <a:pPr>
              <a:defRPr sz="900" b="0" i="0" u="none" strike="noStrike" kern="1200" baseline="0">
                <a:solidFill>
                  <a:sysClr val="windowText" lastClr="000000"/>
                </a:solidFill>
                <a:latin typeface="+mn-lt"/>
                <a:ea typeface="+mn-ea"/>
                <a:cs typeface="+mn-cs"/>
              </a:defRPr>
            </a:pPr>
            <a:endParaRPr lang="de-DE"/>
          </a:p>
        </c:txPr>
        <c:crossAx val="1095510104"/>
        <c:crosses val="autoZero"/>
        <c:auto val="1"/>
        <c:lblAlgn val="ctr"/>
        <c:lblOffset val="100"/>
        <c:noMultiLvlLbl val="0"/>
      </c:catAx>
      <c:valAx>
        <c:axId val="10955101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in Tsd.</a:t>
                </a:r>
                <a:r>
                  <a:rPr lang="de-DE" baseline="0"/>
                  <a:t> €</a:t>
                </a:r>
                <a:endParaRPr lang="de-DE"/>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095509744"/>
        <c:crosses val="autoZero"/>
        <c:crossBetween val="between"/>
      </c:valAx>
      <c:valAx>
        <c:axId val="514543288"/>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14558768"/>
        <c:crosses val="max"/>
        <c:crossBetween val="between"/>
      </c:valAx>
      <c:catAx>
        <c:axId val="514558768"/>
        <c:scaling>
          <c:orientation val="minMax"/>
        </c:scaling>
        <c:delete val="1"/>
        <c:axPos val="b"/>
        <c:majorTickMark val="out"/>
        <c:minorTickMark val="none"/>
        <c:tickLblPos val="nextTo"/>
        <c:crossAx val="514543288"/>
        <c:crosses val="autoZero"/>
        <c:auto val="1"/>
        <c:lblAlgn val="ctr"/>
        <c:lblOffset val="100"/>
        <c:noMultiLvlLbl val="0"/>
      </c:catAx>
      <c:spPr>
        <a:noFill/>
        <a:ln>
          <a:noFill/>
        </a:ln>
        <a:effectLst/>
      </c:spPr>
    </c:plotArea>
    <c:legend>
      <c:legendPos val="r"/>
      <c:layout>
        <c:manualLayout>
          <c:xMode val="edge"/>
          <c:yMode val="edge"/>
          <c:x val="0"/>
          <c:y val="0.92010600307339441"/>
          <c:w val="1"/>
          <c:h val="7.208245282588454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0"/>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 Datencheck'!A1"/></Relationships>
</file>

<file path=xl/drawings/_rels/drawing9.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10</xdr:col>
      <xdr:colOff>123825</xdr:colOff>
      <xdr:row>0</xdr:row>
      <xdr:rowOff>0</xdr:rowOff>
    </xdr:from>
    <xdr:to>
      <xdr:col>13</xdr:col>
      <xdr:colOff>138750</xdr:colOff>
      <xdr:row>3</xdr:row>
      <xdr:rowOff>165532</xdr:rowOff>
    </xdr:to>
    <xdr:pic>
      <xdr:nvPicPr>
        <xdr:cNvPr id="3" name="Grafik 2">
          <a:extLst>
            <a:ext uri="{FF2B5EF4-FFF2-40B4-BE49-F238E27FC236}">
              <a16:creationId xmlns:a16="http://schemas.microsoft.com/office/drawing/2014/main" id="{AA5D864A-4F4F-13B9-AE8F-F1A7D006D3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01300" y="0"/>
          <a:ext cx="2520000" cy="7370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162244</xdr:colOff>
      <xdr:row>155</xdr:row>
      <xdr:rowOff>161925</xdr:rowOff>
    </xdr:from>
    <xdr:to>
      <xdr:col>6</xdr:col>
      <xdr:colOff>76200</xdr:colOff>
      <xdr:row>171</xdr:row>
      <xdr:rowOff>40847</xdr:rowOff>
    </xdr:to>
    <xdr:graphicFrame macro="">
      <xdr:nvGraphicFramePr>
        <xdr:cNvPr id="4" name="Diagramm 3">
          <a:extLst>
            <a:ext uri="{FF2B5EF4-FFF2-40B4-BE49-F238E27FC236}">
              <a16:creationId xmlns:a16="http://schemas.microsoft.com/office/drawing/2014/main" id="{EA45AD7E-DC91-7C21-E801-1ED471E0C3B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724219</xdr:colOff>
      <xdr:row>155</xdr:row>
      <xdr:rowOff>186927</xdr:rowOff>
    </xdr:from>
    <xdr:to>
      <xdr:col>18</xdr:col>
      <xdr:colOff>694744</xdr:colOff>
      <xdr:row>171</xdr:row>
      <xdr:rowOff>64267</xdr:rowOff>
    </xdr:to>
    <xdr:graphicFrame macro="">
      <xdr:nvGraphicFramePr>
        <xdr:cNvPr id="5" name="Diagramm 4">
          <a:extLst>
            <a:ext uri="{FF2B5EF4-FFF2-40B4-BE49-F238E27FC236}">
              <a16:creationId xmlns:a16="http://schemas.microsoft.com/office/drawing/2014/main" id="{08D478FF-57B9-F1F5-A220-791C67E983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7668</xdr:colOff>
      <xdr:row>28</xdr:row>
      <xdr:rowOff>43962</xdr:rowOff>
    </xdr:from>
    <xdr:to>
      <xdr:col>2</xdr:col>
      <xdr:colOff>4687668</xdr:colOff>
      <xdr:row>48</xdr:row>
      <xdr:rowOff>142875</xdr:rowOff>
    </xdr:to>
    <xdr:graphicFrame macro="">
      <xdr:nvGraphicFramePr>
        <xdr:cNvPr id="2" name="Diagramm 1">
          <a:extLst>
            <a:ext uri="{FF2B5EF4-FFF2-40B4-BE49-F238E27FC236}">
              <a16:creationId xmlns:a16="http://schemas.microsoft.com/office/drawing/2014/main" id="{96531846-BE6A-3439-9466-A51C08B848C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8</xdr:col>
      <xdr:colOff>417650</xdr:colOff>
      <xdr:row>199</xdr:row>
      <xdr:rowOff>0</xdr:rowOff>
    </xdr:from>
    <xdr:ext cx="65" cy="172227"/>
    <xdr:sp macro="" textlink="">
      <xdr:nvSpPr>
        <xdr:cNvPr id="3" name="Textfeld 2">
          <a:extLst>
            <a:ext uri="{FF2B5EF4-FFF2-40B4-BE49-F238E27FC236}">
              <a16:creationId xmlns:a16="http://schemas.microsoft.com/office/drawing/2014/main" id="{A04596AB-4667-4E94-A689-C10354022F1F}"/>
            </a:ext>
          </a:extLst>
        </xdr:cNvPr>
        <xdr:cNvSpPr txBox="1"/>
      </xdr:nvSpPr>
      <xdr:spPr>
        <a:xfrm>
          <a:off x="10133150" y="31318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de-DE" sz="1100"/>
        </a:p>
      </xdr:txBody>
    </xdr:sp>
    <xdr:clientData/>
  </xdr:oneCellAnchor>
  <xdr:twoCellAnchor>
    <xdr:from>
      <xdr:col>3</xdr:col>
      <xdr:colOff>531019</xdr:colOff>
      <xdr:row>28</xdr:row>
      <xdr:rowOff>140494</xdr:rowOff>
    </xdr:from>
    <xdr:to>
      <xdr:col>13</xdr:col>
      <xdr:colOff>716756</xdr:colOff>
      <xdr:row>48</xdr:row>
      <xdr:rowOff>188118</xdr:rowOff>
    </xdr:to>
    <xdr:graphicFrame macro="">
      <xdr:nvGraphicFramePr>
        <xdr:cNvPr id="6" name="Diagramm 5">
          <a:extLst>
            <a:ext uri="{FF2B5EF4-FFF2-40B4-BE49-F238E27FC236}">
              <a16:creationId xmlns:a16="http://schemas.microsoft.com/office/drawing/2014/main" id="{6FF2BECC-61F6-FB0A-2D0F-E607AE16C3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oneCellAnchor>
    <xdr:from>
      <xdr:col>8</xdr:col>
      <xdr:colOff>417650</xdr:colOff>
      <xdr:row>111</xdr:row>
      <xdr:rowOff>0</xdr:rowOff>
    </xdr:from>
    <xdr:ext cx="65" cy="172227"/>
    <xdr:sp macro="" textlink="">
      <xdr:nvSpPr>
        <xdr:cNvPr id="2" name="Textfeld 1">
          <a:extLst>
            <a:ext uri="{FF2B5EF4-FFF2-40B4-BE49-F238E27FC236}">
              <a16:creationId xmlns:a16="http://schemas.microsoft.com/office/drawing/2014/main" id="{DE8BDCD2-1D2C-44DC-B928-60828B0A97AD}"/>
            </a:ext>
          </a:extLst>
        </xdr:cNvPr>
        <xdr:cNvSpPr txBox="1"/>
      </xdr:nvSpPr>
      <xdr:spPr>
        <a:xfrm>
          <a:off x="10133150" y="3674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de-DE" sz="1100"/>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8</xdr:col>
      <xdr:colOff>417650</xdr:colOff>
      <xdr:row>112</xdr:row>
      <xdr:rowOff>0</xdr:rowOff>
    </xdr:from>
    <xdr:ext cx="65" cy="172227"/>
    <xdr:sp macro="" textlink="">
      <xdr:nvSpPr>
        <xdr:cNvPr id="5" name="Textfeld 4">
          <a:extLst>
            <a:ext uri="{FF2B5EF4-FFF2-40B4-BE49-F238E27FC236}">
              <a16:creationId xmlns:a16="http://schemas.microsoft.com/office/drawing/2014/main" id="{4E7DB8BF-CE6E-4BED-B35E-D25D59B869E5}"/>
            </a:ext>
          </a:extLst>
        </xdr:cNvPr>
        <xdr:cNvSpPr txBox="1"/>
      </xdr:nvSpPr>
      <xdr:spPr>
        <a:xfrm>
          <a:off x="9656900" y="2881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de-DE" sz="1100"/>
        </a:p>
      </xdr:txBody>
    </xdr:sp>
    <xdr:clientData/>
  </xdr:oneCellAnchor>
</xdr:wsDr>
</file>

<file path=xl/drawings/drawing13.xml><?xml version="1.0" encoding="utf-8"?>
<xdr:wsDr xmlns:xdr="http://schemas.openxmlformats.org/drawingml/2006/spreadsheetDrawing" xmlns:a="http://schemas.openxmlformats.org/drawingml/2006/main">
  <xdr:twoCellAnchor editAs="oneCell">
    <xdr:from>
      <xdr:col>1</xdr:col>
      <xdr:colOff>742950</xdr:colOff>
      <xdr:row>71</xdr:row>
      <xdr:rowOff>9525</xdr:rowOff>
    </xdr:from>
    <xdr:to>
      <xdr:col>11</xdr:col>
      <xdr:colOff>34950</xdr:colOff>
      <xdr:row>74</xdr:row>
      <xdr:rowOff>152466</xdr:rowOff>
    </xdr:to>
    <xdr:pic>
      <xdr:nvPicPr>
        <xdr:cNvPr id="4" name="Grafik 3">
          <a:extLst>
            <a:ext uri="{FF2B5EF4-FFF2-40B4-BE49-F238E27FC236}">
              <a16:creationId xmlns:a16="http://schemas.microsoft.com/office/drawing/2014/main" id="{9CB79D17-943C-4F52-B29E-A0A56712E6A9}"/>
            </a:ext>
          </a:extLst>
        </xdr:cNvPr>
        <xdr:cNvPicPr>
          <a:picLocks noChangeAspect="1"/>
        </xdr:cNvPicPr>
      </xdr:nvPicPr>
      <xdr:blipFill>
        <a:blip xmlns:r="http://schemas.openxmlformats.org/officeDocument/2006/relationships" r:embed="rId1"/>
        <a:stretch>
          <a:fillRect/>
        </a:stretch>
      </xdr:blipFill>
      <xdr:spPr>
        <a:xfrm>
          <a:off x="895350" y="12563475"/>
          <a:ext cx="6912000" cy="714441"/>
        </a:xfrm>
        <a:prstGeom prst="rect">
          <a:avLst/>
        </a:prstGeom>
      </xdr:spPr>
    </xdr:pic>
    <xdr:clientData/>
  </xdr:twoCellAnchor>
  <xdr:twoCellAnchor editAs="oneCell">
    <xdr:from>
      <xdr:col>1</xdr:col>
      <xdr:colOff>752475</xdr:colOff>
      <xdr:row>79</xdr:row>
      <xdr:rowOff>0</xdr:rowOff>
    </xdr:from>
    <xdr:to>
      <xdr:col>11</xdr:col>
      <xdr:colOff>420117</xdr:colOff>
      <xdr:row>83</xdr:row>
      <xdr:rowOff>85843</xdr:rowOff>
    </xdr:to>
    <xdr:pic>
      <xdr:nvPicPr>
        <xdr:cNvPr id="5" name="Grafik 4">
          <a:extLst>
            <a:ext uri="{FF2B5EF4-FFF2-40B4-BE49-F238E27FC236}">
              <a16:creationId xmlns:a16="http://schemas.microsoft.com/office/drawing/2014/main" id="{D32CFD1A-525C-4654-8EF2-85DAB53DBE3F}"/>
            </a:ext>
          </a:extLst>
        </xdr:cNvPr>
        <xdr:cNvPicPr>
          <a:picLocks noChangeAspect="1"/>
        </xdr:cNvPicPr>
      </xdr:nvPicPr>
      <xdr:blipFill>
        <a:blip xmlns:r="http://schemas.openxmlformats.org/officeDocument/2006/relationships" r:embed="rId2"/>
        <a:stretch>
          <a:fillRect/>
        </a:stretch>
      </xdr:blipFill>
      <xdr:spPr>
        <a:xfrm>
          <a:off x="904875" y="14077950"/>
          <a:ext cx="7287642" cy="8478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417650</xdr:colOff>
      <xdr:row>31</xdr:row>
      <xdr:rowOff>0</xdr:rowOff>
    </xdr:from>
    <xdr:ext cx="65" cy="172227"/>
    <xdr:sp macro="" textlink="">
      <xdr:nvSpPr>
        <xdr:cNvPr id="2" name="Textfeld 1">
          <a:extLst>
            <a:ext uri="{FF2B5EF4-FFF2-40B4-BE49-F238E27FC236}">
              <a16:creationId xmlns:a16="http://schemas.microsoft.com/office/drawing/2014/main" id="{5658E407-7938-4E1B-A8CB-16F9F5C0BB46}"/>
            </a:ext>
          </a:extLst>
        </xdr:cNvPr>
        <xdr:cNvSpPr txBox="1"/>
      </xdr:nvSpPr>
      <xdr:spPr>
        <a:xfrm>
          <a:off x="11047550" y="4752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de-DE" sz="1100"/>
        </a:p>
      </xdr:txBody>
    </xdr:sp>
    <xdr:clientData/>
  </xdr:oneCellAnchor>
  <xdr:oneCellAnchor>
    <xdr:from>
      <xdr:col>9</xdr:col>
      <xdr:colOff>417650</xdr:colOff>
      <xdr:row>32</xdr:row>
      <xdr:rowOff>0</xdr:rowOff>
    </xdr:from>
    <xdr:ext cx="65" cy="172227"/>
    <xdr:sp macro="" textlink="">
      <xdr:nvSpPr>
        <xdr:cNvPr id="3" name="Textfeld 2">
          <a:extLst>
            <a:ext uri="{FF2B5EF4-FFF2-40B4-BE49-F238E27FC236}">
              <a16:creationId xmlns:a16="http://schemas.microsoft.com/office/drawing/2014/main" id="{B5180CBD-77E9-4089-826A-AEF04712CAAF}"/>
            </a:ext>
          </a:extLst>
        </xdr:cNvPr>
        <xdr:cNvSpPr txBox="1"/>
      </xdr:nvSpPr>
      <xdr:spPr>
        <a:xfrm>
          <a:off x="11380925" y="5000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de-DE"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8</xdr:col>
      <xdr:colOff>417650</xdr:colOff>
      <xdr:row>30</xdr:row>
      <xdr:rowOff>0</xdr:rowOff>
    </xdr:from>
    <xdr:ext cx="65" cy="172227"/>
    <xdr:sp macro="" textlink="">
      <xdr:nvSpPr>
        <xdr:cNvPr id="2" name="Textfeld 1">
          <a:extLst>
            <a:ext uri="{FF2B5EF4-FFF2-40B4-BE49-F238E27FC236}">
              <a16:creationId xmlns:a16="http://schemas.microsoft.com/office/drawing/2014/main" id="{6A339302-D4DF-491B-948B-78FC86048653}"/>
            </a:ext>
          </a:extLst>
        </xdr:cNvPr>
        <xdr:cNvSpPr txBox="1"/>
      </xdr:nvSpPr>
      <xdr:spPr>
        <a:xfrm>
          <a:off x="11047550" y="785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de-DE" sz="1100"/>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2</xdr:col>
      <xdr:colOff>30957</xdr:colOff>
      <xdr:row>34</xdr:row>
      <xdr:rowOff>20632</xdr:rowOff>
    </xdr:from>
    <xdr:to>
      <xdr:col>5</xdr:col>
      <xdr:colOff>1</xdr:colOff>
      <xdr:row>49</xdr:row>
      <xdr:rowOff>88472</xdr:rowOff>
    </xdr:to>
    <xdr:graphicFrame macro="">
      <xdr:nvGraphicFramePr>
        <xdr:cNvPr id="2" name="Diagramm 1">
          <a:extLst>
            <a:ext uri="{FF2B5EF4-FFF2-40B4-BE49-F238E27FC236}">
              <a16:creationId xmlns:a16="http://schemas.microsoft.com/office/drawing/2014/main" id="{A1D92E03-AB58-4BF3-9260-4AD77AEEB2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8</xdr:row>
      <xdr:rowOff>4591050</xdr:rowOff>
    </xdr:from>
    <xdr:to>
      <xdr:col>3</xdr:col>
      <xdr:colOff>809625</xdr:colOff>
      <xdr:row>9</xdr:row>
      <xdr:rowOff>0</xdr:rowOff>
    </xdr:to>
    <xdr:sp macro="" textlink="">
      <xdr:nvSpPr>
        <xdr:cNvPr id="3" name="Rechteck 2">
          <a:hlinkClick xmlns:r="http://schemas.openxmlformats.org/officeDocument/2006/relationships" r:id="rId1"/>
          <a:extLst>
            <a:ext uri="{FF2B5EF4-FFF2-40B4-BE49-F238E27FC236}">
              <a16:creationId xmlns:a16="http://schemas.microsoft.com/office/drawing/2014/main" id="{2734E846-5528-756D-1634-8DF1FABC881F}"/>
            </a:ext>
          </a:extLst>
        </xdr:cNvPr>
        <xdr:cNvSpPr/>
      </xdr:nvSpPr>
      <xdr:spPr>
        <a:xfrm>
          <a:off x="390525" y="6534150"/>
          <a:ext cx="3829050" cy="485775"/>
        </a:xfrm>
        <a:prstGeom prst="rect">
          <a:avLst/>
        </a:prstGeom>
        <a:solidFill>
          <a:srgbClr val="FFC000"/>
        </a:solid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b="1">
              <a:solidFill>
                <a:sysClr val="windowText" lastClr="000000"/>
              </a:solidFill>
            </a:rPr>
            <a:t>Zum Datencheck</a:t>
          </a:r>
          <a:r>
            <a:rPr lang="de-DE" sz="1100" b="0">
              <a:solidFill>
                <a:sysClr val="windowText" lastClr="000000"/>
              </a:solidFill>
            </a:rPr>
            <a:t> &gt;&gt;&gt;</a:t>
          </a:r>
        </a:p>
      </xdr:txBody>
    </xdr:sp>
    <xdr:clientData/>
  </xdr:twoCellAnchor>
  <xdr:twoCellAnchor editAs="oneCell">
    <xdr:from>
      <xdr:col>10</xdr:col>
      <xdr:colOff>127950</xdr:colOff>
      <xdr:row>0</xdr:row>
      <xdr:rowOff>0</xdr:rowOff>
    </xdr:from>
    <xdr:to>
      <xdr:col>13</xdr:col>
      <xdr:colOff>142875</xdr:colOff>
      <xdr:row>3</xdr:row>
      <xdr:rowOff>165532</xdr:rowOff>
    </xdr:to>
    <xdr:pic>
      <xdr:nvPicPr>
        <xdr:cNvPr id="2" name="Grafik 1">
          <a:extLst>
            <a:ext uri="{FF2B5EF4-FFF2-40B4-BE49-F238E27FC236}">
              <a16:creationId xmlns:a16="http://schemas.microsoft.com/office/drawing/2014/main" id="{CBB015CF-E9C4-44B1-84A3-6961175C02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05425" y="0"/>
          <a:ext cx="2520000" cy="7370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9</xdr:col>
      <xdr:colOff>417650</xdr:colOff>
      <xdr:row>61</xdr:row>
      <xdr:rowOff>0</xdr:rowOff>
    </xdr:from>
    <xdr:ext cx="65" cy="172227"/>
    <xdr:sp macro="" textlink="">
      <xdr:nvSpPr>
        <xdr:cNvPr id="2" name="Textfeld 1">
          <a:extLst>
            <a:ext uri="{FF2B5EF4-FFF2-40B4-BE49-F238E27FC236}">
              <a16:creationId xmlns:a16="http://schemas.microsoft.com/office/drawing/2014/main" id="{049F5734-927E-45B5-923D-B28C16804ED0}"/>
            </a:ext>
          </a:extLst>
        </xdr:cNvPr>
        <xdr:cNvSpPr txBox="1"/>
      </xdr:nvSpPr>
      <xdr:spPr>
        <a:xfrm>
          <a:off x="11380925" y="6581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de-DE"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8</xdr:col>
      <xdr:colOff>417650</xdr:colOff>
      <xdr:row>160</xdr:row>
      <xdr:rowOff>0</xdr:rowOff>
    </xdr:from>
    <xdr:ext cx="65" cy="172227"/>
    <xdr:sp macro="" textlink="">
      <xdr:nvSpPr>
        <xdr:cNvPr id="2" name="Textfeld 1">
          <a:extLst>
            <a:ext uri="{FF2B5EF4-FFF2-40B4-BE49-F238E27FC236}">
              <a16:creationId xmlns:a16="http://schemas.microsoft.com/office/drawing/2014/main" id="{4B611FBD-0EDA-402F-AF10-3E54A350B37F}"/>
            </a:ext>
          </a:extLst>
        </xdr:cNvPr>
        <xdr:cNvSpPr txBox="1"/>
      </xdr:nvSpPr>
      <xdr:spPr>
        <a:xfrm>
          <a:off x="11047550" y="661587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de-DE"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8</xdr:col>
      <xdr:colOff>417650</xdr:colOff>
      <xdr:row>208</xdr:row>
      <xdr:rowOff>55286</xdr:rowOff>
    </xdr:from>
    <xdr:ext cx="65" cy="172227"/>
    <xdr:sp macro="" textlink="">
      <xdr:nvSpPr>
        <xdr:cNvPr id="2" name="Textfeld 1">
          <a:extLst>
            <a:ext uri="{FF2B5EF4-FFF2-40B4-BE49-F238E27FC236}">
              <a16:creationId xmlns:a16="http://schemas.microsoft.com/office/drawing/2014/main" id="{0A0843E1-E268-4149-AD67-55C73A553C3F}"/>
            </a:ext>
          </a:extLst>
        </xdr:cNvPr>
        <xdr:cNvSpPr txBox="1"/>
      </xdr:nvSpPr>
      <xdr:spPr>
        <a:xfrm>
          <a:off x="11047550" y="65492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de-DE" sz="1100"/>
        </a:p>
      </xdr:txBody>
    </xdr:sp>
    <xdr:clientData/>
  </xdr:oneCellAnchor>
  <xdr:oneCellAnchor>
    <xdr:from>
      <xdr:col>8</xdr:col>
      <xdr:colOff>417650</xdr:colOff>
      <xdr:row>208</xdr:row>
      <xdr:rowOff>55286</xdr:rowOff>
    </xdr:from>
    <xdr:ext cx="65" cy="172227"/>
    <xdr:sp macro="" textlink="">
      <xdr:nvSpPr>
        <xdr:cNvPr id="3" name="Textfeld 2">
          <a:extLst>
            <a:ext uri="{FF2B5EF4-FFF2-40B4-BE49-F238E27FC236}">
              <a16:creationId xmlns:a16="http://schemas.microsoft.com/office/drawing/2014/main" id="{5BD9AE10-A457-4D34-B0CC-776C7324F7D9}"/>
            </a:ext>
          </a:extLst>
        </xdr:cNvPr>
        <xdr:cNvSpPr txBox="1"/>
      </xdr:nvSpPr>
      <xdr:spPr>
        <a:xfrm>
          <a:off x="11047550" y="6473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de-DE" sz="1100"/>
        </a:p>
      </xdr:txBody>
    </xdr:sp>
    <xdr:clientData/>
  </xdr:oneCellAnchor>
  <xdr:oneCellAnchor>
    <xdr:from>
      <xdr:col>8</xdr:col>
      <xdr:colOff>417650</xdr:colOff>
      <xdr:row>300</xdr:row>
      <xdr:rowOff>0</xdr:rowOff>
    </xdr:from>
    <xdr:ext cx="65" cy="172227"/>
    <xdr:sp macro="" textlink="">
      <xdr:nvSpPr>
        <xdr:cNvPr id="4" name="Textfeld 3">
          <a:extLst>
            <a:ext uri="{FF2B5EF4-FFF2-40B4-BE49-F238E27FC236}">
              <a16:creationId xmlns:a16="http://schemas.microsoft.com/office/drawing/2014/main" id="{790F3F08-1EC6-45ED-A791-3B7B53BF384C}"/>
            </a:ext>
          </a:extLst>
        </xdr:cNvPr>
        <xdr:cNvSpPr txBox="1"/>
      </xdr:nvSpPr>
      <xdr:spPr>
        <a:xfrm>
          <a:off x="11047550" y="30270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de-DE" sz="1100"/>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2</xdr:col>
      <xdr:colOff>11906</xdr:colOff>
      <xdr:row>31</xdr:row>
      <xdr:rowOff>182557</xdr:rowOff>
    </xdr:from>
    <xdr:to>
      <xdr:col>5</xdr:col>
      <xdr:colOff>687281</xdr:colOff>
      <xdr:row>47</xdr:row>
      <xdr:rowOff>59897</xdr:rowOff>
    </xdr:to>
    <xdr:graphicFrame macro="">
      <xdr:nvGraphicFramePr>
        <xdr:cNvPr id="2" name="Diagramm 1">
          <a:extLst>
            <a:ext uri="{FF2B5EF4-FFF2-40B4-BE49-F238E27FC236}">
              <a16:creationId xmlns:a16="http://schemas.microsoft.com/office/drawing/2014/main" id="{955A54EB-63B7-419A-A3C8-7790FCEA1B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762319</xdr:colOff>
      <xdr:row>31</xdr:row>
      <xdr:rowOff>182557</xdr:rowOff>
    </xdr:from>
    <xdr:to>
      <xdr:col>17</xdr:col>
      <xdr:colOff>104194</xdr:colOff>
      <xdr:row>47</xdr:row>
      <xdr:rowOff>59897</xdr:rowOff>
    </xdr:to>
    <xdr:graphicFrame macro="">
      <xdr:nvGraphicFramePr>
        <xdr:cNvPr id="3" name="Diagramm 2">
          <a:extLst>
            <a:ext uri="{FF2B5EF4-FFF2-40B4-BE49-F238E27FC236}">
              <a16:creationId xmlns:a16="http://schemas.microsoft.com/office/drawing/2014/main" id="{3C4C295C-6876-4904-8E33-67073C7EAA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762319</xdr:colOff>
      <xdr:row>48</xdr:row>
      <xdr:rowOff>110727</xdr:rowOff>
    </xdr:from>
    <xdr:to>
      <xdr:col>17</xdr:col>
      <xdr:colOff>104194</xdr:colOff>
      <xdr:row>63</xdr:row>
      <xdr:rowOff>178567</xdr:rowOff>
    </xdr:to>
    <xdr:graphicFrame macro="">
      <xdr:nvGraphicFramePr>
        <xdr:cNvPr id="4" name="Diagramm 3">
          <a:extLst>
            <a:ext uri="{FF2B5EF4-FFF2-40B4-BE49-F238E27FC236}">
              <a16:creationId xmlns:a16="http://schemas.microsoft.com/office/drawing/2014/main" id="{55B82029-9D46-4F25-9659-7C64E99C56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11906</xdr:colOff>
      <xdr:row>48</xdr:row>
      <xdr:rowOff>156067</xdr:rowOff>
    </xdr:from>
    <xdr:to>
      <xdr:col>5</xdr:col>
      <xdr:colOff>687281</xdr:colOff>
      <xdr:row>63</xdr:row>
      <xdr:rowOff>178567</xdr:rowOff>
    </xdr:to>
    <xdr:graphicFrame macro="">
      <xdr:nvGraphicFramePr>
        <xdr:cNvPr id="5" name="Diagramm 4">
          <a:extLst>
            <a:ext uri="{FF2B5EF4-FFF2-40B4-BE49-F238E27FC236}">
              <a16:creationId xmlns:a16="http://schemas.microsoft.com/office/drawing/2014/main" id="{261D1D9E-7D5C-4E8C-9A23-2CD3A0E660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hamoon.fatah@value-mat.com" TargetMode="External"/><Relationship Id="rId1" Type="http://schemas.openxmlformats.org/officeDocument/2006/relationships/hyperlink" Target="http://www.value-mat.com/"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hamoon.fatah@value-mat.com" TargetMode="External"/><Relationship Id="rId1" Type="http://schemas.openxmlformats.org/officeDocument/2006/relationships/hyperlink" Target="http://www.value-mat.com/"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www.google.de/"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034D1-E0F8-4EA2-940A-A7F4F7A292BC}">
  <sheetPr>
    <tabColor rgb="FF0047AB"/>
    <pageSetUpPr fitToPage="1"/>
  </sheetPr>
  <dimension ref="A1:S28"/>
  <sheetViews>
    <sheetView showGridLines="0" tabSelected="1" zoomScaleNormal="100" workbookViewId="0">
      <selection sqref="A1:M1"/>
    </sheetView>
  </sheetViews>
  <sheetFormatPr baseColWidth="10" defaultColWidth="0" defaultRowHeight="15" zeroHeight="1" x14ac:dyDescent="0.25"/>
  <cols>
    <col min="1" max="1" width="5.7109375" style="374" customWidth="1"/>
    <col min="2" max="2" width="30.7109375" style="374" customWidth="1"/>
    <col min="3" max="11" width="14.7109375" style="374" customWidth="1"/>
    <col min="12" max="13" width="11.42578125" style="374" customWidth="1"/>
    <col min="14" max="14" width="2.28515625" style="569" customWidth="1"/>
    <col min="15" max="15" width="2.28515625" style="374" customWidth="1"/>
    <col min="16" max="19" width="0" style="374" hidden="1" customWidth="1"/>
    <col min="20" max="16384" width="11.42578125" style="374" hidden="1"/>
  </cols>
  <sheetData>
    <row r="1" spans="1:15" x14ac:dyDescent="0.25">
      <c r="A1" s="568" t="s">
        <v>658</v>
      </c>
      <c r="B1" s="568"/>
      <c r="C1" s="568"/>
      <c r="D1" s="568"/>
      <c r="E1" s="568"/>
      <c r="F1" s="568"/>
      <c r="G1" s="568"/>
      <c r="H1" s="568"/>
      <c r="I1" s="568"/>
      <c r="J1" s="568"/>
      <c r="K1" s="568"/>
      <c r="L1" s="568"/>
      <c r="M1" s="568"/>
      <c r="O1" s="570"/>
    </row>
    <row r="2" spans="1:15" x14ac:dyDescent="0.25">
      <c r="A2" s="471"/>
      <c r="B2" s="471"/>
      <c r="C2" s="471"/>
      <c r="D2" s="471"/>
      <c r="E2" s="471"/>
      <c r="F2" s="471"/>
      <c r="G2" s="471"/>
      <c r="H2" s="471"/>
      <c r="I2" s="471"/>
      <c r="J2" s="471"/>
      <c r="K2" s="471"/>
      <c r="L2" s="471"/>
      <c r="M2" s="471"/>
      <c r="O2" s="570"/>
    </row>
    <row r="3" spans="1:15" x14ac:dyDescent="0.25">
      <c r="A3" s="471"/>
      <c r="B3" s="571" t="s">
        <v>344</v>
      </c>
      <c r="C3" s="471"/>
      <c r="D3" s="471"/>
      <c r="E3" s="471"/>
      <c r="F3" s="471"/>
      <c r="G3" s="471"/>
      <c r="H3" s="471"/>
      <c r="I3" s="471"/>
      <c r="J3" s="471"/>
      <c r="K3" s="471"/>
      <c r="L3" s="471"/>
      <c r="M3" s="471"/>
      <c r="O3" s="570"/>
    </row>
    <row r="4" spans="1:15" ht="31.5" x14ac:dyDescent="0.5">
      <c r="A4" s="471"/>
      <c r="B4" s="572" t="s">
        <v>409</v>
      </c>
      <c r="C4" s="471"/>
      <c r="D4" s="471"/>
      <c r="E4" s="471"/>
      <c r="F4" s="471"/>
      <c r="G4" s="471"/>
      <c r="H4" s="471"/>
      <c r="I4" s="471"/>
      <c r="J4" s="471"/>
      <c r="K4" s="471"/>
      <c r="L4" s="471"/>
      <c r="M4" s="471"/>
      <c r="O4" s="570"/>
    </row>
    <row r="5" spans="1:15" x14ac:dyDescent="0.25">
      <c r="A5" s="471"/>
      <c r="B5" s="471"/>
      <c r="C5" s="471"/>
      <c r="D5" s="471"/>
      <c r="E5" s="471"/>
      <c r="F5" s="471"/>
      <c r="G5" s="471"/>
      <c r="H5" s="471"/>
      <c r="I5" s="471"/>
      <c r="J5" s="471"/>
      <c r="K5" s="471"/>
      <c r="L5" s="471"/>
      <c r="M5" s="471"/>
      <c r="O5" s="570"/>
    </row>
    <row r="6" spans="1:15" x14ac:dyDescent="0.25">
      <c r="A6" s="471"/>
      <c r="B6" s="573" t="str">
        <f ca="1" xml:space="preserve"> "Stand, "&amp;TEXT(TODAY(),"tt.MM.JJJJ")</f>
        <v>Stand, 24.08.2026</v>
      </c>
      <c r="C6" s="471"/>
      <c r="D6" s="471"/>
      <c r="E6" s="471"/>
      <c r="F6" s="471"/>
      <c r="G6" s="471"/>
      <c r="H6" s="471"/>
      <c r="I6" s="471"/>
      <c r="J6" s="471"/>
      <c r="K6" s="471"/>
      <c r="L6" s="471"/>
      <c r="M6" s="471"/>
      <c r="O6" s="570"/>
    </row>
    <row r="7" spans="1:15" x14ac:dyDescent="0.25">
      <c r="A7" s="471"/>
      <c r="B7" s="471"/>
      <c r="C7" s="471"/>
      <c r="D7" s="471"/>
      <c r="E7" s="471"/>
      <c r="F7" s="471"/>
      <c r="G7" s="471"/>
      <c r="H7" s="471"/>
      <c r="I7" s="471"/>
      <c r="J7" s="471"/>
      <c r="K7" s="471"/>
      <c r="L7" s="471"/>
      <c r="M7" s="471"/>
      <c r="O7" s="570"/>
    </row>
    <row r="8" spans="1:15" ht="31.5" x14ac:dyDescent="0.5">
      <c r="A8" s="471"/>
      <c r="B8" s="574" t="s">
        <v>407</v>
      </c>
      <c r="C8" s="471"/>
      <c r="D8" s="471"/>
      <c r="E8" s="471"/>
      <c r="F8" s="471"/>
      <c r="G8" s="471"/>
      <c r="H8" s="471"/>
      <c r="I8" s="575"/>
      <c r="J8" s="471"/>
      <c r="K8" s="471"/>
      <c r="L8" s="471"/>
      <c r="M8" s="471"/>
      <c r="O8" s="570"/>
    </row>
    <row r="9" spans="1:15" ht="31.5" customHeight="1" x14ac:dyDescent="0.25">
      <c r="A9" s="471"/>
      <c r="B9" s="669" t="s">
        <v>651</v>
      </c>
      <c r="C9" s="670"/>
      <c r="D9" s="670"/>
      <c r="E9" s="670"/>
      <c r="F9" s="670"/>
      <c r="G9" s="670"/>
      <c r="H9" s="670"/>
      <c r="I9" s="575"/>
      <c r="J9" s="471"/>
      <c r="K9" s="471"/>
      <c r="L9" s="471"/>
      <c r="M9" s="471"/>
      <c r="O9" s="570"/>
    </row>
    <row r="10" spans="1:15" ht="31.5" customHeight="1" x14ac:dyDescent="0.25">
      <c r="A10" s="471"/>
      <c r="B10" s="670"/>
      <c r="C10" s="670"/>
      <c r="D10" s="670"/>
      <c r="E10" s="670"/>
      <c r="F10" s="670"/>
      <c r="G10" s="670"/>
      <c r="H10" s="670"/>
      <c r="I10" s="471"/>
      <c r="J10" s="471"/>
      <c r="K10" s="471"/>
      <c r="L10" s="471"/>
      <c r="M10" s="471"/>
      <c r="O10" s="570"/>
    </row>
    <row r="11" spans="1:15" ht="31.5" customHeight="1" x14ac:dyDescent="0.25">
      <c r="A11" s="471"/>
      <c r="B11" s="670"/>
      <c r="C11" s="670"/>
      <c r="D11" s="670"/>
      <c r="E11" s="670"/>
      <c r="F11" s="670"/>
      <c r="G11" s="670"/>
      <c r="H11" s="670"/>
      <c r="I11" s="575"/>
      <c r="J11" s="471"/>
      <c r="K11" s="471"/>
      <c r="L11" s="471"/>
      <c r="M11" s="471"/>
      <c r="O11" s="570"/>
    </row>
    <row r="12" spans="1:15" ht="31.5" customHeight="1" x14ac:dyDescent="0.25">
      <c r="A12" s="471"/>
      <c r="B12" s="670"/>
      <c r="C12" s="670"/>
      <c r="D12" s="670"/>
      <c r="E12" s="670"/>
      <c r="F12" s="670"/>
      <c r="G12" s="670"/>
      <c r="H12" s="670"/>
      <c r="I12" s="575"/>
      <c r="J12" s="471"/>
      <c r="K12" s="471"/>
      <c r="L12" s="471"/>
      <c r="M12" s="471"/>
      <c r="O12" s="570"/>
    </row>
    <row r="13" spans="1:15" ht="31.5" customHeight="1" x14ac:dyDescent="0.25">
      <c r="A13" s="471"/>
      <c r="B13" s="670"/>
      <c r="C13" s="670"/>
      <c r="D13" s="670"/>
      <c r="E13" s="670"/>
      <c r="F13" s="670"/>
      <c r="G13" s="670"/>
      <c r="H13" s="670"/>
      <c r="I13" s="575"/>
      <c r="J13" s="471"/>
      <c r="K13" s="471"/>
      <c r="L13" s="471"/>
      <c r="M13" s="471"/>
      <c r="O13" s="570"/>
    </row>
    <row r="14" spans="1:15" ht="31.5" customHeight="1" x14ac:dyDescent="0.25">
      <c r="A14" s="471"/>
      <c r="B14" s="670"/>
      <c r="C14" s="670"/>
      <c r="D14" s="670"/>
      <c r="E14" s="670"/>
      <c r="F14" s="670"/>
      <c r="G14" s="670"/>
      <c r="H14" s="670"/>
      <c r="I14" s="575"/>
      <c r="J14" s="471"/>
      <c r="K14" s="471"/>
      <c r="L14" s="471"/>
      <c r="M14" s="471"/>
      <c r="O14" s="570"/>
    </row>
    <row r="15" spans="1:15" ht="31.5" customHeight="1" x14ac:dyDescent="0.25">
      <c r="A15" s="471"/>
      <c r="B15" s="670"/>
      <c r="C15" s="670"/>
      <c r="D15" s="670"/>
      <c r="E15" s="670"/>
      <c r="F15" s="670"/>
      <c r="G15" s="670"/>
      <c r="H15" s="670"/>
      <c r="I15" s="575"/>
      <c r="J15" s="471"/>
      <c r="K15" s="471"/>
      <c r="L15" s="471"/>
      <c r="M15" s="471"/>
      <c r="O15" s="570"/>
    </row>
    <row r="16" spans="1:15" ht="31.5" customHeight="1" x14ac:dyDescent="0.25">
      <c r="A16" s="471"/>
      <c r="B16" s="670"/>
      <c r="C16" s="670"/>
      <c r="D16" s="670"/>
      <c r="E16" s="670"/>
      <c r="F16" s="670"/>
      <c r="G16" s="670"/>
      <c r="H16" s="670"/>
      <c r="I16" s="575"/>
      <c r="J16" s="471"/>
      <c r="K16" s="471"/>
      <c r="L16" s="471"/>
      <c r="M16" s="471"/>
      <c r="O16" s="570"/>
    </row>
    <row r="17" spans="1:15" ht="165.75" customHeight="1" x14ac:dyDescent="0.25">
      <c r="A17" s="471"/>
      <c r="B17" s="670"/>
      <c r="C17" s="670"/>
      <c r="D17" s="670"/>
      <c r="E17" s="670"/>
      <c r="F17" s="670"/>
      <c r="G17" s="670"/>
      <c r="H17" s="670"/>
      <c r="I17" s="575"/>
      <c r="J17" s="471"/>
      <c r="K17" s="471"/>
      <c r="L17" s="471"/>
      <c r="M17" s="471"/>
      <c r="O17" s="570"/>
    </row>
    <row r="18" spans="1:15" x14ac:dyDescent="0.25">
      <c r="A18" s="471"/>
      <c r="B18" s="471" t="s">
        <v>650</v>
      </c>
      <c r="C18" s="471"/>
      <c r="D18" s="471"/>
      <c r="E18" s="471"/>
      <c r="F18" s="471"/>
      <c r="G18" s="471"/>
      <c r="H18" s="471"/>
      <c r="I18" s="471"/>
      <c r="J18" s="471"/>
      <c r="K18" s="471"/>
      <c r="L18" s="471"/>
      <c r="M18" s="471"/>
      <c r="O18" s="570"/>
    </row>
    <row r="19" spans="1:15" x14ac:dyDescent="0.25">
      <c r="A19" s="471"/>
      <c r="B19" s="671" t="s">
        <v>631</v>
      </c>
      <c r="C19" s="471"/>
      <c r="D19" s="471"/>
      <c r="E19" s="471"/>
      <c r="F19" s="471"/>
      <c r="G19" s="471"/>
      <c r="H19" s="471"/>
      <c r="I19" s="471"/>
      <c r="J19" s="471"/>
      <c r="K19" s="471"/>
      <c r="L19" s="471"/>
      <c r="M19" s="471"/>
      <c r="O19" s="570"/>
    </row>
    <row r="20" spans="1:15" x14ac:dyDescent="0.25">
      <c r="A20" s="471"/>
      <c r="B20" s="671"/>
      <c r="C20" s="471"/>
      <c r="D20" s="471"/>
      <c r="E20" s="471"/>
      <c r="F20" s="471"/>
      <c r="G20" s="471"/>
      <c r="H20" s="471"/>
      <c r="I20" s="471"/>
      <c r="J20" s="471"/>
      <c r="K20" s="471"/>
      <c r="L20" s="471"/>
      <c r="M20" s="471"/>
      <c r="O20" s="570"/>
    </row>
    <row r="21" spans="1:15" x14ac:dyDescent="0.25">
      <c r="A21" s="471"/>
      <c r="B21" s="471" t="s">
        <v>635</v>
      </c>
      <c r="C21" s="471"/>
      <c r="D21" s="471"/>
      <c r="E21" s="471"/>
      <c r="F21" s="471"/>
      <c r="G21" s="471"/>
      <c r="H21" s="471"/>
      <c r="I21" s="471"/>
      <c r="J21" s="471"/>
      <c r="K21" s="471"/>
      <c r="L21" s="471"/>
      <c r="M21" s="471"/>
      <c r="O21" s="570"/>
    </row>
    <row r="22" spans="1:15" x14ac:dyDescent="0.25">
      <c r="A22" s="471"/>
      <c r="B22" s="671" t="s">
        <v>632</v>
      </c>
      <c r="C22" s="471"/>
      <c r="D22" s="471"/>
      <c r="E22" s="471"/>
      <c r="F22" s="471"/>
      <c r="G22" s="471"/>
      <c r="H22" s="471"/>
      <c r="I22" s="471"/>
      <c r="J22" s="471"/>
      <c r="K22" s="471"/>
      <c r="L22" s="471"/>
      <c r="M22" s="471"/>
      <c r="O22" s="570"/>
    </row>
    <row r="23" spans="1:15" x14ac:dyDescent="0.25">
      <c r="A23" s="471"/>
      <c r="B23" s="471"/>
      <c r="C23" s="471"/>
      <c r="D23" s="471"/>
      <c r="E23" s="471"/>
      <c r="F23" s="471"/>
      <c r="G23" s="471"/>
      <c r="H23" s="471"/>
      <c r="I23" s="471"/>
      <c r="J23" s="471"/>
      <c r="K23" s="471"/>
      <c r="L23" s="471"/>
      <c r="M23" s="471"/>
      <c r="O23" s="570"/>
    </row>
    <row r="24" spans="1:15" ht="247.5" customHeight="1" x14ac:dyDescent="0.25">
      <c r="A24" s="471"/>
      <c r="B24" s="672" t="s">
        <v>662</v>
      </c>
      <c r="C24" s="672"/>
      <c r="D24" s="672"/>
      <c r="E24" s="672"/>
      <c r="F24" s="672"/>
      <c r="G24" s="672"/>
      <c r="H24" s="672"/>
      <c r="I24" s="471"/>
      <c r="J24" s="471"/>
      <c r="K24" s="471"/>
      <c r="L24" s="471"/>
      <c r="M24" s="471"/>
      <c r="O24" s="570"/>
    </row>
    <row r="25" spans="1:15" x14ac:dyDescent="0.25">
      <c r="A25" s="471"/>
      <c r="B25" s="471"/>
      <c r="C25" s="471"/>
      <c r="D25" s="471"/>
      <c r="E25" s="471"/>
      <c r="F25" s="471"/>
      <c r="G25" s="471"/>
      <c r="H25" s="471"/>
      <c r="I25" s="471"/>
      <c r="J25" s="471"/>
      <c r="K25" s="471"/>
      <c r="L25" s="471"/>
      <c r="M25" s="471"/>
      <c r="O25" s="570"/>
    </row>
    <row r="26" spans="1:15" s="569" customFormat="1" ht="9.9499999999999993" customHeight="1" x14ac:dyDescent="0.25">
      <c r="O26" s="570"/>
    </row>
    <row r="27" spans="1:15" ht="9.9499999999999993" customHeight="1" x14ac:dyDescent="0.25">
      <c r="A27" s="570"/>
      <c r="B27" s="570"/>
      <c r="C27" s="570"/>
      <c r="D27" s="570"/>
      <c r="E27" s="570"/>
      <c r="F27" s="570"/>
      <c r="G27" s="570"/>
      <c r="H27" s="570"/>
      <c r="I27" s="570"/>
      <c r="J27" s="570"/>
      <c r="K27" s="570"/>
      <c r="L27" s="570"/>
      <c r="M27" s="570"/>
      <c r="N27" s="570"/>
      <c r="O27" s="570"/>
    </row>
    <row r="28" spans="1:15" s="561" customFormat="1" ht="15" customHeight="1" x14ac:dyDescent="0.25">
      <c r="A28" s="561" t="s">
        <v>410</v>
      </c>
    </row>
  </sheetData>
  <sheetProtection algorithmName="SHA-512" hashValue="v5rOMsZhPRFivcmliNAK2H7ABe++pwLyGzatRBGXQUJE7ARRG+FzRax647IZaPA0bKpLj8Yv6mTWs9dAbFRJSA==" saltValue="p+5Duwxyx++H0YkwJMEVKg==" spinCount="100000" sheet="1" objects="1" scenarios="1"/>
  <mergeCells count="3">
    <mergeCell ref="A1:M1"/>
    <mergeCell ref="B9:H17"/>
    <mergeCell ref="B24:H24"/>
  </mergeCells>
  <hyperlinks>
    <hyperlink ref="B19" r:id="rId1" xr:uid="{E409C820-58CD-4A00-9ED7-EA1C69C0CD95}"/>
    <hyperlink ref="B22" r:id="rId2" xr:uid="{162DA228-AE6D-4E72-B57C-0A483708404C}"/>
  </hyperlinks>
  <pageMargins left="0.70866141732283472" right="0.70866141732283472" top="0.78740157480314965" bottom="0.78740157480314965" header="0.31496062992125984" footer="0.31496062992125984"/>
  <pageSetup paperSize="9" scale="44" orientation="portrait" r:id="rId3"/>
  <headerFooter>
    <oddFooter>&amp;LVersion 1.0 | &amp;D&amp;C&amp;"-,Fett"Streng Vertraulich.&amp;"-,Standard" 
&amp;8Ausschließlich zu Informationszwecken. Es wird keine Gewähr oder Haftung für Vollständigkeit, Richtigkeit oder aus der Nutzung des Modells abgeleitete Entscheidungen übernommen. &amp;R&amp;P</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4746C-91D1-461B-9966-CFE5EF5C5157}">
  <sheetPr>
    <tabColor rgb="FF0070C0"/>
  </sheetPr>
  <dimension ref="A1:AC281"/>
  <sheetViews>
    <sheetView showGridLines="0" topLeftCell="A268" zoomScale="80" zoomScaleNormal="80" workbookViewId="0">
      <selection activeCell="G60" sqref="G60"/>
    </sheetView>
  </sheetViews>
  <sheetFormatPr baseColWidth="10" defaultColWidth="0" defaultRowHeight="15" outlineLevelRow="1" x14ac:dyDescent="0.25"/>
  <cols>
    <col min="1" max="2" width="2.28515625" style="2" customWidth="1"/>
    <col min="3" max="3" width="75.7109375" style="2" customWidth="1"/>
    <col min="4" max="4" width="11.7109375" style="96" customWidth="1"/>
    <col min="5" max="5" width="11.42578125" style="2" customWidth="1"/>
    <col min="6" max="17" width="11.7109375" style="2" customWidth="1"/>
    <col min="18" max="18" width="2.28515625" style="2" customWidth="1"/>
    <col min="19" max="21" width="11.42578125" style="2" customWidth="1"/>
    <col min="22" max="22" width="2.28515625" style="2" customWidth="1"/>
    <col min="23" max="24" width="11.42578125" style="2" hidden="1" customWidth="1"/>
    <col min="25" max="29" width="0" style="2" hidden="1" customWidth="1"/>
    <col min="30" max="16384" width="11.42578125" style="2" hidden="1"/>
  </cols>
  <sheetData>
    <row r="1" spans="1:14" s="1" customFormat="1" ht="23.25" x14ac:dyDescent="0.35">
      <c r="A1" s="1" t="s">
        <v>220</v>
      </c>
      <c r="D1" s="95"/>
    </row>
    <row r="4" spans="1:14" s="3" customFormat="1" ht="27" thickBot="1" x14ac:dyDescent="0.45">
      <c r="A4" s="2"/>
      <c r="B4" s="2"/>
      <c r="C4" s="3" t="s">
        <v>307</v>
      </c>
      <c r="D4" s="97"/>
    </row>
    <row r="5" spans="1:14" x14ac:dyDescent="0.25">
      <c r="D5" s="2"/>
    </row>
    <row r="6" spans="1:14" ht="5.0999999999999996" customHeight="1" x14ac:dyDescent="0.25">
      <c r="B6" s="169"/>
      <c r="D6" s="2"/>
    </row>
    <row r="7" spans="1:14" x14ac:dyDescent="0.25">
      <c r="B7" s="169"/>
      <c r="C7" s="2" t="s">
        <v>221</v>
      </c>
      <c r="D7" s="96" t="s">
        <v>289</v>
      </c>
      <c r="G7" s="116">
        <f ca="1">+'2. Input_Allgemein'!E35</f>
        <v>46258</v>
      </c>
    </row>
    <row r="8" spans="1:14" ht="5.0999999999999996" customHeight="1" x14ac:dyDescent="0.25">
      <c r="B8" s="169"/>
      <c r="G8" s="101"/>
    </row>
    <row r="9" spans="1:14" ht="26.25" x14ac:dyDescent="0.4">
      <c r="B9" s="169"/>
      <c r="C9" s="174" t="s">
        <v>316</v>
      </c>
      <c r="D9" s="96" t="s">
        <v>290</v>
      </c>
      <c r="E9" s="159"/>
      <c r="F9" s="159"/>
      <c r="G9" s="175">
        <f ca="1">+'(AUSBLENDEN) Bewertung'!G88</f>
        <v>1577.0638454129087</v>
      </c>
      <c r="H9" s="155"/>
    </row>
    <row r="10" spans="1:14" ht="5.0999999999999996" customHeight="1" x14ac:dyDescent="0.4">
      <c r="B10" s="169"/>
      <c r="C10" s="170"/>
      <c r="D10" s="171"/>
      <c r="E10" s="172"/>
      <c r="F10" s="172"/>
      <c r="G10" s="173"/>
      <c r="H10" s="172"/>
      <c r="I10" s="169"/>
      <c r="J10" s="169"/>
      <c r="K10" s="169"/>
      <c r="L10" s="169"/>
      <c r="M10" s="169"/>
      <c r="N10" s="169"/>
    </row>
    <row r="11" spans="1:14" x14ac:dyDescent="0.25">
      <c r="G11" s="101"/>
    </row>
    <row r="13" spans="1:14" x14ac:dyDescent="0.25">
      <c r="C13" s="2" t="s">
        <v>258</v>
      </c>
      <c r="D13" s="96" t="s">
        <v>289</v>
      </c>
      <c r="G13" s="117">
        <f ca="1">G9/'(AUSBLENDEN) Bewertung'!G12</f>
        <v>7.6544111571569715</v>
      </c>
    </row>
    <row r="14" spans="1:14" x14ac:dyDescent="0.25">
      <c r="C14" s="2" t="s">
        <v>288</v>
      </c>
      <c r="D14" s="96" t="s">
        <v>289</v>
      </c>
      <c r="G14" s="100">
        <f ca="1">+Q204</f>
        <v>0.22715882850612829</v>
      </c>
    </row>
    <row r="15" spans="1:14" x14ac:dyDescent="0.25">
      <c r="C15" s="2" t="s">
        <v>291</v>
      </c>
      <c r="D15" s="96" t="s">
        <v>289</v>
      </c>
      <c r="G15" s="100" t="e">
        <f>+AVERAGE(G203:K203)</f>
        <v>#REF!</v>
      </c>
    </row>
    <row r="16" spans="1:14" x14ac:dyDescent="0.25">
      <c r="G16" s="178"/>
    </row>
    <row r="17" spans="3:16" x14ac:dyDescent="0.25">
      <c r="C17" s="2" t="s">
        <v>312</v>
      </c>
      <c r="D17" s="96" t="s">
        <v>289</v>
      </c>
      <c r="G17" s="115" t="e">
        <f>+'(AUSBLENDEN) Bewertung'!#REF!</f>
        <v>#REF!</v>
      </c>
    </row>
    <row r="18" spans="3:16" x14ac:dyDescent="0.25">
      <c r="C18" s="2" t="s">
        <v>314</v>
      </c>
      <c r="D18" s="96" t="s">
        <v>313</v>
      </c>
      <c r="G18" s="48">
        <v>0</v>
      </c>
    </row>
    <row r="19" spans="3:16" x14ac:dyDescent="0.25">
      <c r="C19" s="2" t="s">
        <v>315</v>
      </c>
      <c r="D19" s="96" t="s">
        <v>290</v>
      </c>
      <c r="G19" s="115" t="e">
        <f>+G17-G18*(1+G17)</f>
        <v>#REF!</v>
      </c>
    </row>
    <row r="21" spans="3:16" ht="15" customHeight="1" x14ac:dyDescent="0.25"/>
    <row r="23" spans="3:16" x14ac:dyDescent="0.25">
      <c r="D23" s="323" t="s">
        <v>311</v>
      </c>
      <c r="E23" s="323"/>
      <c r="F23" s="323"/>
      <c r="G23" s="323"/>
      <c r="H23" s="323"/>
      <c r="I23" s="323"/>
      <c r="K23" s="315" t="s">
        <v>305</v>
      </c>
      <c r="L23" s="315"/>
      <c r="M23" s="315"/>
      <c r="N23" s="315"/>
      <c r="O23" s="315"/>
      <c r="P23" s="315"/>
    </row>
    <row r="24" spans="3:16" x14ac:dyDescent="0.25">
      <c r="D24" s="324"/>
      <c r="E24" s="324"/>
      <c r="F24" s="324"/>
      <c r="G24" s="324"/>
      <c r="H24" s="324"/>
      <c r="I24" s="324"/>
      <c r="K24" s="316"/>
      <c r="L24" s="316"/>
      <c r="M24" s="316"/>
      <c r="N24" s="316"/>
      <c r="O24" s="316"/>
      <c r="P24" s="316"/>
    </row>
    <row r="25" spans="3:16" x14ac:dyDescent="0.25">
      <c r="D25" s="160" t="e">
        <f ca="1">+G260</f>
        <v>#REF!</v>
      </c>
      <c r="E25" s="163">
        <f>+F25-0.5%</f>
        <v>4.9999999999999984E-3</v>
      </c>
      <c r="F25" s="126">
        <f>+G25-0.5%</f>
        <v>9.9999999999999985E-3</v>
      </c>
      <c r="G25" s="126">
        <f>+N25</f>
        <v>1.4999999999999999E-2</v>
      </c>
      <c r="H25" s="126">
        <f>+G25+0.5%</f>
        <v>0.02</v>
      </c>
      <c r="I25" s="128">
        <f>+H25+0.5%</f>
        <v>2.5000000000000001E-2</v>
      </c>
      <c r="K25" s="124" t="e">
        <f ca="1">+G260</f>
        <v>#REF!</v>
      </c>
      <c r="L25" s="125">
        <f>+M25-0.5%</f>
        <v>4.9999999999999984E-3</v>
      </c>
      <c r="M25" s="126">
        <f>+N25-0.5%</f>
        <v>9.9999999999999985E-3</v>
      </c>
      <c r="N25" s="127">
        <f>+'4. Input_Plan'!V50</f>
        <v>1.4999999999999999E-2</v>
      </c>
      <c r="O25" s="126">
        <f>+N25+0.5%</f>
        <v>0.02</v>
      </c>
      <c r="P25" s="128">
        <f>+O25+0.5%</f>
        <v>2.5000000000000001E-2</v>
      </c>
    </row>
    <row r="26" spans="3:16" x14ac:dyDescent="0.25">
      <c r="D26" s="168">
        <f>+G18</f>
        <v>0</v>
      </c>
      <c r="E26" s="164" t="e">
        <f t="dataTable" ref="E26:I30" dt2D="1" dtr="1" r1="G253" r2="G254" ca="1"/>
        <v>#REF!</v>
      </c>
      <c r="F26" s="165" t="e">
        <v>#REF!</v>
      </c>
      <c r="G26" s="166" t="e">
        <v>#REF!</v>
      </c>
      <c r="H26" s="165" t="e">
        <v>#REF!</v>
      </c>
      <c r="I26" s="167" t="e">
        <v>#REF!</v>
      </c>
      <c r="K26" s="111">
        <f ca="1">+K27-1%</f>
        <v>6.9628389792870574E-2</v>
      </c>
      <c r="L26" s="129" t="e">
        <f t="dataTable" ref="L26:P30" dt2D="1" dtr="1" r1="G253" r2="G252" ca="1"/>
        <v>#REF!</v>
      </c>
      <c r="M26" s="130" t="e">
        <v>#REF!</v>
      </c>
      <c r="N26" s="131" t="e">
        <v>#REF!</v>
      </c>
      <c r="O26" s="130" t="e">
        <v>#REF!</v>
      </c>
      <c r="P26" s="132" t="e">
        <v>#REF!</v>
      </c>
    </row>
    <row r="27" spans="3:16" x14ac:dyDescent="0.25">
      <c r="D27" s="161">
        <f>+D26+1%</f>
        <v>0.01</v>
      </c>
      <c r="E27" s="133" t="e">
        <v>#REF!</v>
      </c>
      <c r="F27" s="134" t="e">
        <v>#REF!</v>
      </c>
      <c r="G27" s="134" t="e">
        <v>#REF!</v>
      </c>
      <c r="H27" s="134" t="e">
        <v>#REF!</v>
      </c>
      <c r="I27" s="136" t="e">
        <v>#REF!</v>
      </c>
      <c r="K27" s="112">
        <f ca="1">+K28-1%</f>
        <v>7.9628389792870569E-2</v>
      </c>
      <c r="L27" s="133" t="e">
        <v>#REF!</v>
      </c>
      <c r="M27" s="134" t="e">
        <v>#REF!</v>
      </c>
      <c r="N27" s="135" t="e">
        <v>#REF!</v>
      </c>
      <c r="O27" s="134" t="e">
        <v>#REF!</v>
      </c>
      <c r="P27" s="136" t="e">
        <v>#REF!</v>
      </c>
    </row>
    <row r="28" spans="3:16" x14ac:dyDescent="0.25">
      <c r="D28" s="161">
        <f>+D27+1%</f>
        <v>0.02</v>
      </c>
      <c r="E28" s="133" t="e">
        <v>#REF!</v>
      </c>
      <c r="F28" s="134" t="e">
        <v>#REF!</v>
      </c>
      <c r="G28" s="134" t="e">
        <v>#REF!</v>
      </c>
      <c r="H28" s="134" t="e">
        <v>#REF!</v>
      </c>
      <c r="I28" s="136" t="e">
        <v>#REF!</v>
      </c>
      <c r="K28" s="113">
        <f ca="1">+'(AUSBLENDEN) Bewertung'!M77</f>
        <v>8.9628389792870564E-2</v>
      </c>
      <c r="L28" s="137" t="e">
        <v>#REF!</v>
      </c>
      <c r="M28" s="138" t="e">
        <v>#REF!</v>
      </c>
      <c r="N28" s="144" t="e">
        <v>#REF!</v>
      </c>
      <c r="O28" s="138" t="e">
        <v>#REF!</v>
      </c>
      <c r="P28" s="139" t="e">
        <v>#REF!</v>
      </c>
    </row>
    <row r="29" spans="3:16" x14ac:dyDescent="0.25">
      <c r="D29" s="161">
        <f>+D28+1%</f>
        <v>0.03</v>
      </c>
      <c r="E29" s="133" t="e">
        <v>#REF!</v>
      </c>
      <c r="F29" s="134" t="e">
        <v>#REF!</v>
      </c>
      <c r="G29" s="134" t="e">
        <v>#REF!</v>
      </c>
      <c r="H29" s="134" t="e">
        <v>#REF!</v>
      </c>
      <c r="I29" s="136" t="e">
        <v>#REF!</v>
      </c>
      <c r="K29" s="112">
        <f ca="1">+K28+1%</f>
        <v>9.9628389792870559E-2</v>
      </c>
      <c r="L29" s="133" t="e">
        <v>#REF!</v>
      </c>
      <c r="M29" s="134" t="e">
        <v>#REF!</v>
      </c>
      <c r="N29" s="135" t="e">
        <v>#REF!</v>
      </c>
      <c r="O29" s="134" t="e">
        <v>#REF!</v>
      </c>
      <c r="P29" s="136" t="e">
        <v>#REF!</v>
      </c>
    </row>
    <row r="30" spans="3:16" x14ac:dyDescent="0.25">
      <c r="D30" s="162">
        <f>+D29+1%</f>
        <v>0.04</v>
      </c>
      <c r="E30" s="140" t="e">
        <v>#REF!</v>
      </c>
      <c r="F30" s="141" t="e">
        <v>#REF!</v>
      </c>
      <c r="G30" s="141" t="e">
        <v>#REF!</v>
      </c>
      <c r="H30" s="141" t="e">
        <v>#REF!</v>
      </c>
      <c r="I30" s="143" t="e">
        <v>#REF!</v>
      </c>
      <c r="K30" s="114">
        <f ca="1">+K29+1%</f>
        <v>0.10962838979287055</v>
      </c>
      <c r="L30" s="140" t="e">
        <v>#REF!</v>
      </c>
      <c r="M30" s="141" t="e">
        <v>#REF!</v>
      </c>
      <c r="N30" s="142" t="e">
        <v>#REF!</v>
      </c>
      <c r="O30" s="141" t="e">
        <v>#REF!</v>
      </c>
      <c r="P30" s="143" t="e">
        <v>#REF!</v>
      </c>
    </row>
    <row r="31" spans="3:16" ht="15" customHeight="1" x14ac:dyDescent="0.25"/>
    <row r="91" spans="3:14" ht="22.5" x14ac:dyDescent="0.35">
      <c r="C91" s="5" t="s">
        <v>17</v>
      </c>
    </row>
    <row r="92" spans="3:14" ht="15" customHeight="1" x14ac:dyDescent="0.35">
      <c r="C92" s="179"/>
      <c r="D92" s="152"/>
      <c r="E92" s="94"/>
      <c r="F92" s="94"/>
      <c r="G92" s="94"/>
      <c r="H92" s="102" t="s">
        <v>323</v>
      </c>
      <c r="I92" s="180">
        <v>1</v>
      </c>
      <c r="J92" s="180">
        <v>2</v>
      </c>
      <c r="K92" s="180">
        <v>3</v>
      </c>
      <c r="L92" s="180">
        <v>4</v>
      </c>
      <c r="M92" s="180">
        <v>5</v>
      </c>
      <c r="N92" s="181" t="s">
        <v>324</v>
      </c>
    </row>
    <row r="93" spans="3:14" x14ac:dyDescent="0.25">
      <c r="C93" s="2" t="s">
        <v>317</v>
      </c>
      <c r="D93" s="182">
        <f>SUM(+'2. Input_Allgemein'!S49+'2. Input_Allgemein'!S50)/COUNT('2. Input_Allgemein'!S50,'2. Input_Allgemein'!S49)/5</f>
        <v>0.2</v>
      </c>
      <c r="H93" s="177" t="s">
        <v>325</v>
      </c>
      <c r="I93" s="320">
        <f>+D93*0+70%</f>
        <v>0.7</v>
      </c>
      <c r="J93" s="321"/>
      <c r="K93" s="321"/>
      <c r="L93" s="321"/>
      <c r="M93" s="322"/>
      <c r="N93" s="2" t="s">
        <v>326</v>
      </c>
    </row>
    <row r="94" spans="3:14" x14ac:dyDescent="0.25">
      <c r="H94" s="177"/>
      <c r="I94" s="183"/>
      <c r="J94" s="183"/>
      <c r="K94" s="183"/>
      <c r="L94" s="183"/>
      <c r="M94" s="183"/>
    </row>
    <row r="95" spans="3:14" x14ac:dyDescent="0.25">
      <c r="C95" s="2" t="s">
        <v>318</v>
      </c>
      <c r="D95" s="182">
        <f>+'2. Input_Allgemein'!S58/5</f>
        <v>0.2</v>
      </c>
      <c r="H95" s="177" t="s">
        <v>327</v>
      </c>
      <c r="I95" s="320">
        <f>+D95*0+10%</f>
        <v>0.1</v>
      </c>
      <c r="J95" s="321"/>
      <c r="K95" s="321"/>
      <c r="L95" s="321"/>
      <c r="M95" s="322"/>
      <c r="N95" s="2" t="s">
        <v>328</v>
      </c>
    </row>
    <row r="96" spans="3:14" x14ac:dyDescent="0.25">
      <c r="H96" s="177"/>
      <c r="I96" s="183"/>
      <c r="J96" s="183"/>
      <c r="K96" s="183"/>
      <c r="L96" s="183"/>
      <c r="M96" s="183"/>
    </row>
    <row r="97" spans="1:14" x14ac:dyDescent="0.25">
      <c r="C97" s="2" t="s">
        <v>319</v>
      </c>
      <c r="D97" s="182">
        <f>+'2. Input_Allgemein'!S44/5</f>
        <v>0.4</v>
      </c>
      <c r="H97" s="177" t="s">
        <v>329</v>
      </c>
      <c r="I97" s="320">
        <f>+D97*0+67%</f>
        <v>0.67</v>
      </c>
      <c r="J97" s="321"/>
      <c r="K97" s="321"/>
      <c r="L97" s="321"/>
      <c r="M97" s="322"/>
      <c r="N97" s="2" t="s">
        <v>330</v>
      </c>
    </row>
    <row r="98" spans="1:14" x14ac:dyDescent="0.25">
      <c r="H98" s="177"/>
      <c r="I98" s="183"/>
      <c r="J98" s="183"/>
      <c r="K98" s="183"/>
      <c r="L98" s="183"/>
      <c r="M98" s="183"/>
    </row>
    <row r="99" spans="1:14" x14ac:dyDescent="0.25">
      <c r="C99" s="2" t="s">
        <v>320</v>
      </c>
      <c r="D99" s="96">
        <f>MIN(((+'2. Input_Allgemein'!S46+'2. Input_Allgemein'!S57+'2. Input_Allgemein'!S59)/COUNTA('2. Input_Allgemein'!S46+'2. Input_Allgemein'!S57+'2. Input_Allgemein'!S59))/5,1)</f>
        <v>0.6</v>
      </c>
      <c r="H99" s="177" t="s">
        <v>331</v>
      </c>
      <c r="I99" s="320">
        <f>+D99*0+50%</f>
        <v>0.5</v>
      </c>
      <c r="J99" s="321"/>
      <c r="K99" s="321"/>
      <c r="L99" s="321"/>
      <c r="M99" s="322"/>
      <c r="N99" s="2" t="s">
        <v>332</v>
      </c>
    </row>
    <row r="100" spans="1:14" x14ac:dyDescent="0.25">
      <c r="H100" s="177"/>
      <c r="I100" s="183"/>
      <c r="J100" s="183"/>
      <c r="K100" s="183"/>
      <c r="L100" s="183"/>
      <c r="M100" s="183"/>
    </row>
    <row r="101" spans="1:14" x14ac:dyDescent="0.25">
      <c r="C101" s="2" t="s">
        <v>321</v>
      </c>
      <c r="D101" s="182">
        <f>+'2. Input_Allgemein'!S45/5</f>
        <v>0.4</v>
      </c>
      <c r="H101" s="177" t="s">
        <v>324</v>
      </c>
      <c r="I101" s="320">
        <f>+D101*0+20%</f>
        <v>0.2</v>
      </c>
      <c r="J101" s="321"/>
      <c r="K101" s="321"/>
      <c r="L101" s="321"/>
      <c r="M101" s="322"/>
      <c r="N101" s="2" t="s">
        <v>333</v>
      </c>
    </row>
    <row r="102" spans="1:14" x14ac:dyDescent="0.25">
      <c r="H102" s="177"/>
      <c r="I102" s="183"/>
      <c r="J102" s="183"/>
      <c r="K102" s="183"/>
      <c r="L102" s="183"/>
      <c r="M102" s="183"/>
    </row>
    <row r="103" spans="1:14" x14ac:dyDescent="0.25">
      <c r="C103" s="2" t="s">
        <v>322</v>
      </c>
      <c r="H103" s="177" t="s">
        <v>334</v>
      </c>
      <c r="I103" s="320">
        <f>+D103*0+90%</f>
        <v>0.9</v>
      </c>
      <c r="J103" s="321"/>
      <c r="K103" s="321"/>
      <c r="L103" s="321"/>
      <c r="M103" s="322"/>
      <c r="N103" s="2" t="s">
        <v>335</v>
      </c>
    </row>
    <row r="110" spans="1:14" s="3" customFormat="1" ht="27" thickBot="1" x14ac:dyDescent="0.45">
      <c r="A110" s="2"/>
      <c r="B110" s="2"/>
      <c r="C110" s="3" t="s">
        <v>306</v>
      </c>
      <c r="D110" s="97"/>
    </row>
    <row r="113" spans="3:13" ht="22.5" x14ac:dyDescent="0.35">
      <c r="C113" s="5" t="str">
        <f>+'(AUSBLENDEN) Bewertung'!C42</f>
        <v>Ableitung Kapitalisierungszinssatzes</v>
      </c>
      <c r="D113" s="2"/>
    </row>
    <row r="114" spans="3:13" x14ac:dyDescent="0.25">
      <c r="D114" s="2"/>
      <c r="G114" s="20"/>
      <c r="H114" s="10" t="str">
        <f>+'(AUSBLENDEN) Bewertung'!H43</f>
        <v>Planwerte</v>
      </c>
      <c r="I114" s="10"/>
      <c r="J114" s="10"/>
      <c r="K114" s="10"/>
      <c r="L114" s="10"/>
      <c r="M114" s="73" t="str">
        <f>+'(AUSBLENDEN) Bewertung'!M43</f>
        <v>Phase II</v>
      </c>
    </row>
    <row r="115" spans="3:13" x14ac:dyDescent="0.25">
      <c r="D115" s="2"/>
      <c r="G115" s="43">
        <f ca="1">+'(AUSBLENDEN) Bewertung'!G44</f>
        <v>2026</v>
      </c>
      <c r="H115" s="14">
        <f ca="1">+'(AUSBLENDEN) Bewertung'!H44</f>
        <v>2027</v>
      </c>
      <c r="I115" s="11">
        <f ca="1">+'(AUSBLENDEN) Bewertung'!I44</f>
        <v>2028</v>
      </c>
      <c r="J115" s="11">
        <f ca="1">+'(AUSBLENDEN) Bewertung'!J44</f>
        <v>2029</v>
      </c>
      <c r="K115" s="11">
        <f ca="1">+'(AUSBLENDEN) Bewertung'!K44</f>
        <v>2030</v>
      </c>
      <c r="L115" s="12">
        <f ca="1">+'(AUSBLENDEN) Bewertung'!L44</f>
        <v>2031</v>
      </c>
      <c r="M115" s="74">
        <f ca="1">+'(AUSBLENDEN) Bewertung'!M44</f>
        <v>2032</v>
      </c>
    </row>
    <row r="116" spans="3:13" x14ac:dyDescent="0.25">
      <c r="C116" s="2" t="str">
        <f>+'(AUSBLENDEN) Bewertung'!C45</f>
        <v>risikoloser Zins</v>
      </c>
      <c r="D116" s="2"/>
      <c r="E116" s="84">
        <f>+'(AUSBLENDEN) Bewertung'!E45</f>
        <v>2.75E-2</v>
      </c>
      <c r="H116" s="44">
        <f>+'(AUSBLENDEN) Bewertung'!H45</f>
        <v>2.75E-2</v>
      </c>
      <c r="I116" s="44">
        <f>+'(AUSBLENDEN) Bewertung'!I45</f>
        <v>2.75E-2</v>
      </c>
      <c r="J116" s="44">
        <f>+'(AUSBLENDEN) Bewertung'!J45</f>
        <v>2.75E-2</v>
      </c>
      <c r="K116" s="44">
        <f>+'(AUSBLENDEN) Bewertung'!K45</f>
        <v>2.75E-2</v>
      </c>
      <c r="L116" s="44">
        <f>+'(AUSBLENDEN) Bewertung'!L45</f>
        <v>2.75E-2</v>
      </c>
      <c r="M116" s="44">
        <f>+'(AUSBLENDEN) Bewertung'!M45</f>
        <v>2.75E-2</v>
      </c>
    </row>
    <row r="117" spans="3:13" x14ac:dyDescent="0.25">
      <c r="C117" s="2" t="str">
        <f>+'(AUSBLENDEN) Bewertung'!C46</f>
        <v>Marktrisikoprämie</v>
      </c>
      <c r="D117" s="2"/>
      <c r="E117" s="84">
        <f>+'(AUSBLENDEN) Bewertung'!E46</f>
        <v>6.5000000000000002E-2</v>
      </c>
      <c r="H117" s="44">
        <f>+'(AUSBLENDEN) Bewertung'!H46</f>
        <v>6.5000000000000002E-2</v>
      </c>
      <c r="I117" s="44">
        <f>+'(AUSBLENDEN) Bewertung'!I46</f>
        <v>6.5000000000000002E-2</v>
      </c>
      <c r="J117" s="44">
        <f>+'(AUSBLENDEN) Bewertung'!J46</f>
        <v>6.5000000000000002E-2</v>
      </c>
      <c r="K117" s="44">
        <f>+'(AUSBLENDEN) Bewertung'!K46</f>
        <v>6.5000000000000002E-2</v>
      </c>
      <c r="L117" s="44">
        <f>+'(AUSBLENDEN) Bewertung'!L46</f>
        <v>6.5000000000000002E-2</v>
      </c>
      <c r="M117" s="44">
        <f>+'(AUSBLENDEN) Bewertung'!M46</f>
        <v>6.5000000000000002E-2</v>
      </c>
    </row>
    <row r="118" spans="3:13" x14ac:dyDescent="0.25">
      <c r="C118" s="2" t="str">
        <f>+'(AUSBLENDEN) Bewertung'!C47</f>
        <v>Fremdkapitalzinssatz</v>
      </c>
      <c r="D118" s="2"/>
      <c r="E118" s="84">
        <f>+'(AUSBLENDEN) Bewertung'!E47</f>
        <v>0.05</v>
      </c>
      <c r="H118" s="44">
        <f>+'(AUSBLENDEN) Bewertung'!H47</f>
        <v>0.05</v>
      </c>
      <c r="I118" s="44">
        <f>+'(AUSBLENDEN) Bewertung'!I47</f>
        <v>0.05</v>
      </c>
      <c r="J118" s="44">
        <f>+'(AUSBLENDEN) Bewertung'!J47</f>
        <v>0.05</v>
      </c>
      <c r="K118" s="44">
        <f>+'(AUSBLENDEN) Bewertung'!K47</f>
        <v>0.05</v>
      </c>
      <c r="L118" s="44">
        <f>+'(AUSBLENDEN) Bewertung'!L47</f>
        <v>0.05</v>
      </c>
      <c r="M118" s="44">
        <f>+'(AUSBLENDEN) Bewertung'!M47</f>
        <v>0.05</v>
      </c>
    </row>
    <row r="119" spans="3:13" x14ac:dyDescent="0.25">
      <c r="D119" s="2"/>
      <c r="E119" s="39"/>
    </row>
    <row r="120" spans="3:13" x14ac:dyDescent="0.25">
      <c r="C120" s="8" t="str">
        <f>+'(AUSBLENDEN) Bewertung'!C49</f>
        <v>Ableitung des Betafaktors</v>
      </c>
      <c r="D120" s="2"/>
    </row>
    <row r="121" spans="3:13" hidden="1" outlineLevel="1" x14ac:dyDescent="0.25">
      <c r="C121" s="2" t="str">
        <f>+'(AUSBLENDEN) Bewertung'!C50</f>
        <v>unlevered Beta</v>
      </c>
      <c r="D121" s="2"/>
      <c r="E121" s="47">
        <f>+'(AUSBLENDEN) Bewertung'!E50</f>
        <v>1</v>
      </c>
      <c r="H121" s="46">
        <f>+'(AUSBLENDEN) Bewertung'!H50</f>
        <v>1</v>
      </c>
      <c r="I121" s="46">
        <f>+'(AUSBLENDEN) Bewertung'!I50</f>
        <v>1</v>
      </c>
      <c r="J121" s="46">
        <f>+'(AUSBLENDEN) Bewertung'!J50</f>
        <v>1</v>
      </c>
      <c r="K121" s="46">
        <f>+'(AUSBLENDEN) Bewertung'!K50</f>
        <v>1</v>
      </c>
      <c r="L121" s="46">
        <f>+'(AUSBLENDEN) Bewertung'!L50</f>
        <v>1</v>
      </c>
      <c r="M121" s="46">
        <f>+'(AUSBLENDEN) Bewertung'!M50</f>
        <v>1</v>
      </c>
    </row>
    <row r="122" spans="3:13" hidden="1" outlineLevel="1" x14ac:dyDescent="0.25">
      <c r="C122" s="2" t="str">
        <f>+'(AUSBLENDEN) Bewertung'!C53</f>
        <v>Netto-Fremdkapital Marktwert (zu Periodenbeginn)</v>
      </c>
      <c r="D122" s="2"/>
      <c r="G122" s="63">
        <f>+'(AUSBLENDEN) Bewertung'!G53</f>
        <v>100</v>
      </c>
      <c r="H122" s="75">
        <f>+'(AUSBLENDEN) Bewertung'!H53</f>
        <v>100</v>
      </c>
      <c r="I122" s="75">
        <f ca="1">+'(AUSBLENDEN) Bewertung'!I53</f>
        <v>584.86428571428587</v>
      </c>
      <c r="J122" s="75">
        <f ca="1">+'(AUSBLENDEN) Bewertung'!J53</f>
        <v>584.86428571428587</v>
      </c>
      <c r="K122" s="75">
        <f ca="1">+'(AUSBLENDEN) Bewertung'!K53</f>
        <v>584.86428571428587</v>
      </c>
      <c r="L122" s="75">
        <f ca="1">+'(AUSBLENDEN) Bewertung'!L53</f>
        <v>584.86428571428587</v>
      </c>
      <c r="M122" s="75">
        <f ca="1">+'(AUSBLENDEN) Bewertung'!M53</f>
        <v>584.8642857142861</v>
      </c>
    </row>
    <row r="123" spans="3:13" hidden="1" outlineLevel="1" x14ac:dyDescent="0.25">
      <c r="C123" s="2" t="str">
        <f>+'(AUSBLENDEN) Bewertung'!C54</f>
        <v>Eigenkapital Marktwert</v>
      </c>
      <c r="D123" s="2"/>
      <c r="G123" s="18"/>
      <c r="H123" s="75">
        <f ca="1">+'(AUSBLENDEN) Bewertung'!H54</f>
        <v>1577.0638454129087</v>
      </c>
      <c r="I123" s="75">
        <f ca="1">+'(AUSBLENDEN) Bewertung'!I54</f>
        <v>1181.9645299469362</v>
      </c>
      <c r="J123" s="75">
        <f ca="1">+'(AUSBLENDEN) Bewertung'!J54</f>
        <v>1257.8905397538135</v>
      </c>
      <c r="K123" s="75">
        <f ca="1">+'(AUSBLENDEN) Bewertung'!K54</f>
        <v>1322.4015489415269</v>
      </c>
      <c r="L123" s="75">
        <f ca="1">+'(AUSBLENDEN) Bewertung'!L54</f>
        <v>1373.3454498616629</v>
      </c>
      <c r="M123" s="75">
        <f ca="1">+'(AUSBLENDEN) Bewertung'!M54</f>
        <v>1408.3129574440004</v>
      </c>
    </row>
    <row r="124" spans="3:13" hidden="1" outlineLevel="1" x14ac:dyDescent="0.25">
      <c r="C124" s="18" t="str">
        <f>+'(AUSBLENDEN) Bewertung'!C55</f>
        <v>Netto-Fremdkapitalquote</v>
      </c>
      <c r="D124" s="18"/>
      <c r="E124" s="18"/>
      <c r="F124" s="18"/>
      <c r="G124" s="18"/>
      <c r="H124" s="76">
        <f ca="1">+'(AUSBLENDEN) Bewertung'!H55</f>
        <v>5.962802207770395E-2</v>
      </c>
      <c r="I124" s="76">
        <f ca="1">+'(AUSBLENDEN) Bewertung'!I55</f>
        <v>0.33102487379084594</v>
      </c>
      <c r="J124" s="76">
        <f ca="1">+'(AUSBLENDEN) Bewertung'!J55</f>
        <v>0.31738583865366776</v>
      </c>
      <c r="K124" s="76">
        <f ca="1">+'(AUSBLENDEN) Bewertung'!K55</f>
        <v>0.30665063835730644</v>
      </c>
      <c r="L124" s="76">
        <f ca="1">+'(AUSBLENDEN) Bewertung'!L55</f>
        <v>0.29867295371313507</v>
      </c>
      <c r="M124" s="76">
        <f ca="1">+'(AUSBLENDEN) Bewertung'!M55</f>
        <v>0.29343315438798617</v>
      </c>
    </row>
    <row r="125" spans="3:13" hidden="1" outlineLevel="1" x14ac:dyDescent="0.25">
      <c r="C125" s="18" t="str">
        <f>+'(AUSBLENDEN) Bewertung'!C56</f>
        <v>Eigenkapitalquote</v>
      </c>
      <c r="D125" s="18"/>
      <c r="E125" s="18"/>
      <c r="F125" s="18"/>
      <c r="G125" s="18"/>
      <c r="H125" s="76">
        <f ca="1">+'(AUSBLENDEN) Bewertung'!H56</f>
        <v>0.9403719779222961</v>
      </c>
      <c r="I125" s="76">
        <f ca="1">+'(AUSBLENDEN) Bewertung'!I56</f>
        <v>0.668975126209154</v>
      </c>
      <c r="J125" s="76">
        <f ca="1">+'(AUSBLENDEN) Bewertung'!J56</f>
        <v>0.68261416134633224</v>
      </c>
      <c r="K125" s="76">
        <f ca="1">+'(AUSBLENDEN) Bewertung'!K56</f>
        <v>0.69334936164269356</v>
      </c>
      <c r="L125" s="76">
        <f ca="1">+'(AUSBLENDEN) Bewertung'!L56</f>
        <v>0.70132704628686493</v>
      </c>
      <c r="M125" s="76">
        <f ca="1">+'(AUSBLENDEN) Bewertung'!M56</f>
        <v>0.70656684561201388</v>
      </c>
    </row>
    <row r="126" spans="3:13" hidden="1" outlineLevel="1" x14ac:dyDescent="0.25">
      <c r="C126" s="2" t="str">
        <f>+'(AUSBLENDEN) Bewertung'!C57</f>
        <v>Verschuldungsgrad</v>
      </c>
      <c r="D126" s="2"/>
      <c r="H126" s="76">
        <f ca="1">+'(AUSBLENDEN) Bewertung'!H57</f>
        <v>6.3408973765306173E-2</v>
      </c>
      <c r="I126" s="76">
        <f ca="1">+'(AUSBLENDEN) Bewertung'!I57</f>
        <v>0.49482388929263649</v>
      </c>
      <c r="J126" s="76">
        <f ca="1">+'(AUSBLENDEN) Bewertung'!J57</f>
        <v>0.46495642286072991</v>
      </c>
      <c r="K126" s="76">
        <f ca="1">+'(AUSBLENDEN) Bewertung'!K57</f>
        <v>0.44227435016423067</v>
      </c>
      <c r="L126" s="76">
        <f ca="1">+'(AUSBLENDEN) Bewertung'!L57</f>
        <v>0.4258682953900631</v>
      </c>
      <c r="M126" s="76">
        <f ca="1">+'(AUSBLENDEN) Bewertung'!M57</f>
        <v>0.41529425872483489</v>
      </c>
    </row>
    <row r="127" spans="3:13" hidden="1" outlineLevel="1" x14ac:dyDescent="0.25">
      <c r="C127" s="2" t="str">
        <f>+'(AUSBLENDEN) Bewertung'!C58</f>
        <v>Tax Shield</v>
      </c>
      <c r="D127" s="2"/>
      <c r="E127" s="59">
        <f>+'(AUSBLENDEN) Bewertung'!E58</f>
        <v>0.71924999999999994</v>
      </c>
      <c r="H127" s="44">
        <f ca="1">+'(AUSBLENDEN) Bewertung'!H58</f>
        <v>0.71924999999999994</v>
      </c>
      <c r="I127" s="44">
        <f ca="1">+'(AUSBLENDEN) Bewertung'!I58</f>
        <v>0.71924999999999994</v>
      </c>
      <c r="J127" s="44">
        <f ca="1">+'(AUSBLENDEN) Bewertung'!J58</f>
        <v>0.71924999999999994</v>
      </c>
      <c r="K127" s="44">
        <f ca="1">+'(AUSBLENDEN) Bewertung'!K58</f>
        <v>0.71924999999999994</v>
      </c>
      <c r="L127" s="44">
        <f ca="1">+'(AUSBLENDEN) Bewertung'!L58</f>
        <v>0.71924999999999994</v>
      </c>
      <c r="M127" s="44">
        <f ca="1">+'(AUSBLENDEN) Bewertung'!M58</f>
        <v>0.71924999999999994</v>
      </c>
    </row>
    <row r="128" spans="3:13" hidden="1" outlineLevel="1" x14ac:dyDescent="0.25">
      <c r="C128" s="2" t="str">
        <f>+'(AUSBLENDEN) Bewertung'!C59</f>
        <v>Debt Beta</v>
      </c>
      <c r="D128" s="2"/>
      <c r="H128" s="50">
        <f>+'(AUSBLENDEN) Bewertung'!H59</f>
        <v>0.3461538461538462</v>
      </c>
      <c r="I128" s="50">
        <f ca="1">+'(AUSBLENDEN) Bewertung'!I59</f>
        <v>0.3461538461538462</v>
      </c>
      <c r="J128" s="50">
        <f ca="1">+'(AUSBLENDEN) Bewertung'!J59</f>
        <v>0.3461538461538462</v>
      </c>
      <c r="K128" s="50">
        <f ca="1">+'(AUSBLENDEN) Bewertung'!K59</f>
        <v>0.3461538461538462</v>
      </c>
      <c r="L128" s="50">
        <f ca="1">+'(AUSBLENDEN) Bewertung'!L59</f>
        <v>0.3461538461538462</v>
      </c>
      <c r="M128" s="50">
        <f ca="1">+'(AUSBLENDEN) Bewertung'!M59</f>
        <v>0.3461538461538462</v>
      </c>
    </row>
    <row r="129" spans="3:13" collapsed="1" x14ac:dyDescent="0.25">
      <c r="C129" s="35" t="str">
        <f>+'(AUSBLENDEN) Bewertung'!C60</f>
        <v>levered Beta</v>
      </c>
      <c r="D129" s="35"/>
      <c r="E129" s="35"/>
      <c r="F129" s="35"/>
      <c r="G129" s="35"/>
      <c r="H129" s="49">
        <f ca="1">+'(AUSBLENDEN) Bewertung'!H60</f>
        <v>1.0456069043806964</v>
      </c>
      <c r="I129" s="49">
        <f ca="1">+'(AUSBLENDEN) Bewertung'!I60</f>
        <v>1.3559020823737287</v>
      </c>
      <c r="J129" s="49">
        <f ca="1">+'(AUSBLENDEN) Bewertung'!J60</f>
        <v>1.33441990714258</v>
      </c>
      <c r="K129" s="49">
        <f ca="1">+'(AUSBLENDEN) Bewertung'!K60</f>
        <v>1.3181058263556229</v>
      </c>
      <c r="L129" s="49">
        <f ca="1">+'(AUSBLENDEN) Bewertung'!L60</f>
        <v>1.3063057714593029</v>
      </c>
      <c r="M129" s="49">
        <f ca="1">+'(AUSBLENDEN) Bewertung'!M60</f>
        <v>1.2987003955878373</v>
      </c>
    </row>
    <row r="130" spans="3:13" x14ac:dyDescent="0.25">
      <c r="D130" s="2"/>
    </row>
    <row r="131" spans="3:13" x14ac:dyDescent="0.25">
      <c r="C131" s="8" t="str">
        <f>+'(AUSBLENDEN) Bewertung'!C62</f>
        <v>Ableitung Eigenkapitalkosten</v>
      </c>
      <c r="D131" s="2"/>
    </row>
    <row r="132" spans="3:13" hidden="1" outlineLevel="1" x14ac:dyDescent="0.25">
      <c r="C132" s="2" t="str">
        <f>+'(AUSBLENDEN) Bewertung'!C63</f>
        <v>verschuldete Eigenkapitalkosten vor Risikozuschläge</v>
      </c>
      <c r="D132" s="2"/>
      <c r="G132" s="64">
        <f>+'(AUSBLENDEN) Bewertung'!G63</f>
        <v>0</v>
      </c>
      <c r="H132" s="44">
        <f ca="1">+'(AUSBLENDEN) Bewertung'!H63</f>
        <v>9.5464448784745262E-2</v>
      </c>
      <c r="I132" s="44">
        <f ca="1">+'(AUSBLENDEN) Bewertung'!I63</f>
        <v>0.11563363535429236</v>
      </c>
      <c r="J132" s="44">
        <f ca="1">+'(AUSBLENDEN) Bewertung'!J63</f>
        <v>0.1142372939642677</v>
      </c>
      <c r="K132" s="44">
        <f ca="1">+'(AUSBLENDEN) Bewertung'!K63</f>
        <v>0.11317687871311549</v>
      </c>
      <c r="L132" s="44">
        <f ca="1">+'(AUSBLENDEN) Bewertung'!L63</f>
        <v>0.11240987514485469</v>
      </c>
      <c r="M132" s="44">
        <f ca="1">+'(AUSBLENDEN) Bewertung'!M63</f>
        <v>0.11191552571320942</v>
      </c>
    </row>
    <row r="133" spans="3:13" hidden="1" outlineLevel="1" x14ac:dyDescent="0.25">
      <c r="C133" s="2" t="str">
        <f>+'(AUSBLENDEN) Bewertung'!C64</f>
        <v xml:space="preserve">Risikozuschlag aus Operativer Geschäftstätigkeit </v>
      </c>
      <c r="D133" s="52">
        <f>+'(AUSBLENDEN) Bewertung'!D64</f>
        <v>1</v>
      </c>
      <c r="E133" s="48">
        <f>+'(AUSBLENDEN) Bewertung'!E64</f>
        <v>0</v>
      </c>
      <c r="G133" s="64">
        <f>+'(AUSBLENDEN) Bewertung'!G64</f>
        <v>0</v>
      </c>
      <c r="H133" s="44">
        <f>+'(AUSBLENDEN) Bewertung'!H64</f>
        <v>0</v>
      </c>
      <c r="I133" s="44">
        <f>+'(AUSBLENDEN) Bewertung'!I64</f>
        <v>0</v>
      </c>
      <c r="J133" s="44">
        <f>+'(AUSBLENDEN) Bewertung'!J64</f>
        <v>0</v>
      </c>
      <c r="K133" s="44">
        <f>+'(AUSBLENDEN) Bewertung'!K64</f>
        <v>0</v>
      </c>
      <c r="L133" s="44">
        <f>+'(AUSBLENDEN) Bewertung'!L64</f>
        <v>0</v>
      </c>
      <c r="M133" s="44">
        <f>+'(AUSBLENDEN) Bewertung'!M64</f>
        <v>0</v>
      </c>
    </row>
    <row r="134" spans="3:13" hidden="1" outlineLevel="1" x14ac:dyDescent="0.25">
      <c r="C134" s="2" t="str">
        <f>+'(AUSBLENDEN) Bewertung'!C65</f>
        <v>Risikozuschlag aus Markt und Wettbewerb</v>
      </c>
      <c r="D134" s="52">
        <f>+'(AUSBLENDEN) Bewertung'!D65</f>
        <v>1.6666666666666667</v>
      </c>
      <c r="E134" s="48">
        <f>+'(AUSBLENDEN) Bewertung'!E65</f>
        <v>0</v>
      </c>
      <c r="G134" s="64">
        <f>+'(AUSBLENDEN) Bewertung'!G65</f>
        <v>0</v>
      </c>
      <c r="H134" s="44">
        <f>+'(AUSBLENDEN) Bewertung'!H65</f>
        <v>0</v>
      </c>
      <c r="I134" s="44">
        <f>+'(AUSBLENDEN) Bewertung'!I65</f>
        <v>0</v>
      </c>
      <c r="J134" s="44">
        <f>+'(AUSBLENDEN) Bewertung'!J65</f>
        <v>0</v>
      </c>
      <c r="K134" s="44">
        <f>+'(AUSBLENDEN) Bewertung'!K65</f>
        <v>0</v>
      </c>
      <c r="L134" s="44">
        <f>+'(AUSBLENDEN) Bewertung'!L65</f>
        <v>0</v>
      </c>
      <c r="M134" s="44">
        <f>+'(AUSBLENDEN) Bewertung'!M65</f>
        <v>0</v>
      </c>
    </row>
    <row r="135" spans="3:13" hidden="1" outlineLevel="1" x14ac:dyDescent="0.25">
      <c r="C135" s="2" t="str">
        <f>+'(AUSBLENDEN) Bewertung'!C66</f>
        <v>Risikozuschlag aus operationellem Faktor</v>
      </c>
      <c r="D135" s="52">
        <f>+'(AUSBLENDEN) Bewertung'!D66</f>
        <v>2</v>
      </c>
      <c r="E135" s="53">
        <f>+'(AUSBLENDEN) Bewertung'!E66</f>
        <v>0</v>
      </c>
      <c r="G135" s="64">
        <f>+'(AUSBLENDEN) Bewertung'!G66</f>
        <v>0</v>
      </c>
      <c r="H135" s="54">
        <f>+'(AUSBLENDEN) Bewertung'!H66</f>
        <v>0</v>
      </c>
      <c r="I135" s="54">
        <f>+'(AUSBLENDEN) Bewertung'!I66</f>
        <v>0</v>
      </c>
      <c r="J135" s="54">
        <f>+'(AUSBLENDEN) Bewertung'!J66</f>
        <v>0</v>
      </c>
      <c r="K135" s="54">
        <f>+'(AUSBLENDEN) Bewertung'!K66</f>
        <v>0</v>
      </c>
      <c r="L135" s="54">
        <f>+'(AUSBLENDEN) Bewertung'!L66</f>
        <v>0</v>
      </c>
      <c r="M135" s="54">
        <f>+'(AUSBLENDEN) Bewertung'!M66</f>
        <v>0</v>
      </c>
    </row>
    <row r="136" spans="3:13" collapsed="1" x14ac:dyDescent="0.25">
      <c r="C136" s="35" t="str">
        <f>+'(AUSBLENDEN) Bewertung'!C67</f>
        <v>Eigenkapitalkosten nach Risikozuschläge</v>
      </c>
      <c r="D136" s="35"/>
      <c r="E136" s="35"/>
      <c r="F136" s="35"/>
      <c r="G136" s="65"/>
      <c r="H136" s="51">
        <f ca="1">+'(AUSBLENDEN) Bewertung'!H67</f>
        <v>9.5464448784745262E-2</v>
      </c>
      <c r="I136" s="51">
        <f ca="1">+'(AUSBLENDEN) Bewertung'!I67</f>
        <v>0.11563363535429236</v>
      </c>
      <c r="J136" s="51">
        <f ca="1">+'(AUSBLENDEN) Bewertung'!J67</f>
        <v>0.1142372939642677</v>
      </c>
      <c r="K136" s="51">
        <f ca="1">+'(AUSBLENDEN) Bewertung'!K67</f>
        <v>0.11317687871311549</v>
      </c>
      <c r="L136" s="51">
        <f ca="1">+'(AUSBLENDEN) Bewertung'!L67</f>
        <v>0.11240987514485469</v>
      </c>
      <c r="M136" s="51">
        <f ca="1">+'(AUSBLENDEN) Bewertung'!M67</f>
        <v>0.11191552571320942</v>
      </c>
    </row>
    <row r="137" spans="3:13" x14ac:dyDescent="0.25">
      <c r="D137" s="2"/>
    </row>
    <row r="138" spans="3:13" x14ac:dyDescent="0.25">
      <c r="C138" s="8" t="str">
        <f>+'(AUSBLENDEN) Bewertung'!C69</f>
        <v>Ableitung WACC</v>
      </c>
      <c r="D138" s="2"/>
    </row>
    <row r="139" spans="3:13" hidden="1" outlineLevel="1" x14ac:dyDescent="0.25">
      <c r="C139" s="2" t="str">
        <f>+'(AUSBLENDEN) Bewertung'!C70</f>
        <v>Eigenkapitalkosten</v>
      </c>
      <c r="D139" s="2"/>
      <c r="G139" s="64">
        <f>+'(AUSBLENDEN) Bewertung'!G70</f>
        <v>0</v>
      </c>
      <c r="H139" s="44">
        <f ca="1">+'(AUSBLENDEN) Bewertung'!H70</f>
        <v>9.5464448784745262E-2</v>
      </c>
      <c r="I139" s="44">
        <f ca="1">+'(AUSBLENDEN) Bewertung'!I70</f>
        <v>0.11563363535429236</v>
      </c>
      <c r="J139" s="44">
        <f ca="1">+'(AUSBLENDEN) Bewertung'!J70</f>
        <v>0.1142372939642677</v>
      </c>
      <c r="K139" s="44">
        <f ca="1">+'(AUSBLENDEN) Bewertung'!K70</f>
        <v>0.11317687871311549</v>
      </c>
      <c r="L139" s="44">
        <f ca="1">+'(AUSBLENDEN) Bewertung'!L70</f>
        <v>0.11240987514485469</v>
      </c>
      <c r="M139" s="44">
        <f ca="1">+'(AUSBLENDEN) Bewertung'!M70</f>
        <v>0.11191552571320942</v>
      </c>
    </row>
    <row r="140" spans="3:13" hidden="1" outlineLevel="1" x14ac:dyDescent="0.25">
      <c r="C140" s="18" t="str">
        <f>+'(AUSBLENDEN) Bewertung'!C71</f>
        <v>Eigenkapitalquote</v>
      </c>
      <c r="D140" s="2"/>
      <c r="G140" s="64">
        <f ca="1">+'(AUSBLENDEN) Bewertung'!G71</f>
        <v>0.9403719779222961</v>
      </c>
      <c r="H140" s="44">
        <f ca="1">+'(AUSBLENDEN) Bewertung'!H71</f>
        <v>0.9403719779222961</v>
      </c>
      <c r="I140" s="44">
        <f ca="1">+'(AUSBLENDEN) Bewertung'!I71</f>
        <v>0.668975126209154</v>
      </c>
      <c r="J140" s="44">
        <f ca="1">+'(AUSBLENDEN) Bewertung'!J71</f>
        <v>0.68261416134633224</v>
      </c>
      <c r="K140" s="44">
        <f ca="1">+'(AUSBLENDEN) Bewertung'!K71</f>
        <v>0.69334936164269356</v>
      </c>
      <c r="L140" s="44">
        <f ca="1">+'(AUSBLENDEN) Bewertung'!L71</f>
        <v>0.70132704628686493</v>
      </c>
      <c r="M140" s="44">
        <f ca="1">+'(AUSBLENDEN) Bewertung'!M71</f>
        <v>0.70656684561201388</v>
      </c>
    </row>
    <row r="141" spans="3:13" hidden="1" outlineLevel="1" x14ac:dyDescent="0.25">
      <c r="C141" s="2" t="str">
        <f>+'(AUSBLENDEN) Bewertung'!C72</f>
        <v>Zinsaufwand/-ertrag</v>
      </c>
      <c r="D141" s="2"/>
      <c r="G141" s="2">
        <f>+'(AUSBLENDEN) Bewertung'!G72</f>
        <v>0</v>
      </c>
      <c r="H141" s="46">
        <f>+'(AUSBLENDEN) Bewertung'!H72</f>
        <v>5</v>
      </c>
      <c r="I141" s="46">
        <f ca="1">+'(AUSBLENDEN) Bewertung'!I72</f>
        <v>29.243214285714295</v>
      </c>
      <c r="J141" s="46">
        <f ca="1">+'(AUSBLENDEN) Bewertung'!J72</f>
        <v>29.243214285714295</v>
      </c>
      <c r="K141" s="46">
        <f ca="1">+'(AUSBLENDEN) Bewertung'!K72</f>
        <v>29.243214285714295</v>
      </c>
      <c r="L141" s="46">
        <f ca="1">+'(AUSBLENDEN) Bewertung'!L72</f>
        <v>29.243214285714295</v>
      </c>
      <c r="M141" s="46">
        <f ca="1">+'(AUSBLENDEN) Bewertung'!M72</f>
        <v>29.243214285714306</v>
      </c>
    </row>
    <row r="142" spans="3:13" hidden="1" outlineLevel="1" x14ac:dyDescent="0.25">
      <c r="C142" s="2" t="str">
        <f>+'(AUSBLENDEN) Bewertung'!C73</f>
        <v>Brutto-Fremdkapital Kosten (effektiv)</v>
      </c>
      <c r="D142" s="2"/>
      <c r="G142" s="2">
        <f>+'(AUSBLENDEN) Bewertung'!G73</f>
        <v>0</v>
      </c>
      <c r="H142" s="78">
        <f>+'(AUSBLENDEN) Bewertung'!H73</f>
        <v>0.05</v>
      </c>
      <c r="I142" s="78">
        <f ca="1">+'(AUSBLENDEN) Bewertung'!I73</f>
        <v>0.05</v>
      </c>
      <c r="J142" s="78">
        <f ca="1">+'(AUSBLENDEN) Bewertung'!J73</f>
        <v>0.05</v>
      </c>
      <c r="K142" s="78">
        <f ca="1">+'(AUSBLENDEN) Bewertung'!K73</f>
        <v>0.05</v>
      </c>
      <c r="L142" s="78">
        <f ca="1">+'(AUSBLENDEN) Bewertung'!L73</f>
        <v>0.05</v>
      </c>
      <c r="M142" s="78">
        <f ca="1">+'(AUSBLENDEN) Bewertung'!M73</f>
        <v>0.05</v>
      </c>
    </row>
    <row r="143" spans="3:13" hidden="1" outlineLevel="1" x14ac:dyDescent="0.25">
      <c r="C143" s="2" t="str">
        <f>+'(AUSBLENDEN) Bewertung'!C74</f>
        <v>Brutto-Fremdkapital Marktwert</v>
      </c>
      <c r="D143" s="2"/>
      <c r="G143" s="62">
        <f>+'(AUSBLENDEN) Bewertung'!G74</f>
        <v>100</v>
      </c>
      <c r="H143" s="41">
        <f>+'(AUSBLENDEN) Bewertung'!H74</f>
        <v>100</v>
      </c>
      <c r="I143" s="41">
        <f ca="1">+'(AUSBLENDEN) Bewertung'!I74</f>
        <v>584.86428571428587</v>
      </c>
      <c r="J143" s="41">
        <f ca="1">+'(AUSBLENDEN) Bewertung'!J74</f>
        <v>584.86428571428587</v>
      </c>
      <c r="K143" s="41">
        <f ca="1">+'(AUSBLENDEN) Bewertung'!K74</f>
        <v>584.86428571428587</v>
      </c>
      <c r="L143" s="41">
        <f ca="1">+'(AUSBLENDEN) Bewertung'!L74</f>
        <v>584.86428571428587</v>
      </c>
      <c r="M143" s="41">
        <f ca="1">+'(AUSBLENDEN) Bewertung'!M74</f>
        <v>584.8642857142861</v>
      </c>
    </row>
    <row r="144" spans="3:13" hidden="1" outlineLevel="1" x14ac:dyDescent="0.25">
      <c r="C144" s="2" t="str">
        <f>+'(AUSBLENDEN) Bewertung'!C75</f>
        <v>Brutto-Fremdkapitalquote</v>
      </c>
      <c r="D144" s="2"/>
      <c r="G144" s="64">
        <f ca="1">+'(AUSBLENDEN) Bewertung'!G75</f>
        <v>5.9628022077703902E-2</v>
      </c>
      <c r="H144" s="44">
        <f ca="1">+'(AUSBLENDEN) Bewertung'!H75</f>
        <v>5.962802207770395E-2</v>
      </c>
      <c r="I144" s="44">
        <f ca="1">+'(AUSBLENDEN) Bewertung'!I75</f>
        <v>0.33102487379084594</v>
      </c>
      <c r="J144" s="44">
        <f ca="1">+'(AUSBLENDEN) Bewertung'!J75</f>
        <v>0.31738583865366776</v>
      </c>
      <c r="K144" s="44">
        <f ca="1">+'(AUSBLENDEN) Bewertung'!K75</f>
        <v>0.30665063835730644</v>
      </c>
      <c r="L144" s="44">
        <f ca="1">+'(AUSBLENDEN) Bewertung'!L75</f>
        <v>0.29867295371313507</v>
      </c>
      <c r="M144" s="44">
        <f ca="1">+'(AUSBLENDEN) Bewertung'!M75</f>
        <v>0.29343315438798617</v>
      </c>
    </row>
    <row r="145" spans="3:13" hidden="1" outlineLevel="1" x14ac:dyDescent="0.25">
      <c r="C145" s="2" t="str">
        <f>+'(AUSBLENDEN) Bewertung'!C76</f>
        <v>Tax Shield</v>
      </c>
      <c r="D145" s="2"/>
      <c r="E145" s="59">
        <f>+'(AUSBLENDEN) Bewertung'!E76</f>
        <v>0.71924999999999994</v>
      </c>
      <c r="G145" s="64">
        <f>+'(AUSBLENDEN) Bewertung'!G76</f>
        <v>0</v>
      </c>
      <c r="H145" s="44">
        <f ca="1">+'(AUSBLENDEN) Bewertung'!H76</f>
        <v>0.71924999999999994</v>
      </c>
      <c r="I145" s="44">
        <f ca="1">+'(AUSBLENDEN) Bewertung'!I76</f>
        <v>0.71924999999999994</v>
      </c>
      <c r="J145" s="44">
        <f ca="1">+'(AUSBLENDEN) Bewertung'!J76</f>
        <v>0.71924999999999994</v>
      </c>
      <c r="K145" s="44">
        <f ca="1">+'(AUSBLENDEN) Bewertung'!K76</f>
        <v>0.71924999999999994</v>
      </c>
      <c r="L145" s="44">
        <f ca="1">+'(AUSBLENDEN) Bewertung'!L76</f>
        <v>0.71924999999999994</v>
      </c>
      <c r="M145" s="44">
        <f ca="1">+'(AUSBLENDEN) Bewertung'!M76</f>
        <v>0.71924999999999994</v>
      </c>
    </row>
    <row r="146" spans="3:13" collapsed="1" x14ac:dyDescent="0.25">
      <c r="C146" s="35" t="str">
        <f>+'(AUSBLENDEN) Bewertung'!C77</f>
        <v>WACC</v>
      </c>
      <c r="D146" s="35"/>
      <c r="E146" s="35"/>
      <c r="F146" s="35"/>
      <c r="G146" s="65"/>
      <c r="H146" s="51">
        <f ca="1">+'(AUSBLENDEN) Bewertung'!H77</f>
        <v>9.1916465268942066E-2</v>
      </c>
      <c r="I146" s="51">
        <f ca="1">+'(AUSBLENDEN) Bewertung'!I77</f>
        <v>8.9260507828864313E-2</v>
      </c>
      <c r="J146" s="51">
        <f ca="1">+'(AUSBLENDEN) Bewertung'!J77</f>
        <v>8.9393982836475538E-2</v>
      </c>
      <c r="K146" s="51">
        <f ca="1">+'(AUSBLENDEN) Bewertung'!K77</f>
        <v>8.9499040190375814E-2</v>
      </c>
      <c r="L146" s="51">
        <f ca="1">+'(AUSBLENDEN) Bewertung'!L77</f>
        <v>8.9577111806724841E-2</v>
      </c>
      <c r="M146" s="51">
        <f ca="1">+'(AUSBLENDEN) Bewertung'!M77</f>
        <v>8.9628389792870564E-2</v>
      </c>
    </row>
    <row r="147" spans="3:13" x14ac:dyDescent="0.25">
      <c r="D147" s="2"/>
    </row>
    <row r="150" spans="3:13" ht="22.5" x14ac:dyDescent="0.35">
      <c r="C150" s="5" t="str">
        <f>+'(AUSBLENDEN) Bewertung'!C82</f>
        <v>Ableitung Unternehmenswert</v>
      </c>
    </row>
    <row r="152" spans="3:13" x14ac:dyDescent="0.25">
      <c r="D152" s="2"/>
      <c r="G152" s="20" t="str">
        <f>+'(AUSBLENDEN) Bewertung'!G91</f>
        <v>ACT</v>
      </c>
      <c r="H152" s="10" t="str">
        <f>+'(AUSBLENDEN) Bewertung'!H91</f>
        <v>Planwerte</v>
      </c>
      <c r="I152" s="10"/>
      <c r="J152" s="10"/>
      <c r="K152" s="10"/>
      <c r="L152" s="10"/>
      <c r="M152" s="73" t="str">
        <f>+'(AUSBLENDEN) Bewertung'!M91</f>
        <v>Phase II</v>
      </c>
    </row>
    <row r="153" spans="3:13" x14ac:dyDescent="0.25">
      <c r="D153" s="2"/>
      <c r="G153" s="43">
        <f ca="1">+'(AUSBLENDEN) Bewertung'!G92</f>
        <v>2026</v>
      </c>
      <c r="H153" s="14">
        <f ca="1">+'(AUSBLENDEN) Bewertung'!H92</f>
        <v>2027</v>
      </c>
      <c r="I153" s="11">
        <f ca="1">+'(AUSBLENDEN) Bewertung'!I92</f>
        <v>2028</v>
      </c>
      <c r="J153" s="11">
        <f ca="1">+'(AUSBLENDEN) Bewertung'!J92</f>
        <v>2029</v>
      </c>
      <c r="K153" s="11">
        <f ca="1">+'(AUSBLENDEN) Bewertung'!K92</f>
        <v>2030</v>
      </c>
      <c r="L153" s="12">
        <f ca="1">+'(AUSBLENDEN) Bewertung'!L92</f>
        <v>2031</v>
      </c>
      <c r="M153" s="74">
        <f ca="1">+'(AUSBLENDEN) Bewertung'!M92</f>
        <v>2032</v>
      </c>
    </row>
    <row r="154" spans="3:13" x14ac:dyDescent="0.25">
      <c r="C154" s="2" t="str">
        <f>+'(AUSBLENDEN) Bewertung'!C93</f>
        <v xml:space="preserve">Free Cashflow </v>
      </c>
      <c r="D154" s="19" t="str">
        <f>+'(AUSBLENDEN) Bewertung'!D93</f>
        <v>in Tsd. €</v>
      </c>
      <c r="H154" s="46">
        <f ca="1">+'(AUSBLENDEN) Bewertung'!H93</f>
        <v>64.384810452380833</v>
      </c>
      <c r="I154" s="46">
        <f ca="1">+'(AUSBLENDEN) Bewertung'!I93</f>
        <v>81.782027525714312</v>
      </c>
      <c r="J154" s="46">
        <f ca="1">+'(AUSBLENDEN) Bewertung'!J93</f>
        <v>100.2201840520143</v>
      </c>
      <c r="K154" s="46">
        <f ca="1">+'(AUSBLENDEN) Bewertung'!K93</f>
        <v>119.75456066945534</v>
      </c>
      <c r="L154" s="46">
        <f ca="1">+'(AUSBLENDEN) Bewertung'!L93</f>
        <v>140.44326484236643</v>
      </c>
      <c r="M154" s="46">
        <f ca="1">+'(AUSBLENDEN) Bewertung'!M93</f>
        <v>148.74760822869587</v>
      </c>
    </row>
    <row r="155" spans="3:13" x14ac:dyDescent="0.25">
      <c r="C155" s="2" t="str">
        <f>+'(AUSBLENDEN) Bewertung'!C94</f>
        <v>WACC</v>
      </c>
      <c r="D155" s="19" t="str">
        <f>+'(AUSBLENDEN) Bewertung'!D94</f>
        <v>in %</v>
      </c>
      <c r="H155" s="44">
        <f ca="1">+'(AUSBLENDEN) Bewertung'!H94</f>
        <v>9.1916465268942066E-2</v>
      </c>
      <c r="I155" s="44">
        <f ca="1">+'(AUSBLENDEN) Bewertung'!I94</f>
        <v>8.9260507828864313E-2</v>
      </c>
      <c r="J155" s="44">
        <f ca="1">+'(AUSBLENDEN) Bewertung'!J94</f>
        <v>8.9393982836475538E-2</v>
      </c>
      <c r="K155" s="44">
        <f ca="1">+'(AUSBLENDEN) Bewertung'!K94</f>
        <v>8.9499040190375814E-2</v>
      </c>
      <c r="L155" s="44">
        <f ca="1">+'(AUSBLENDEN) Bewertung'!L94</f>
        <v>8.9577111806724841E-2</v>
      </c>
      <c r="M155" s="44">
        <f ca="1">+'(AUSBLENDEN) Bewertung'!M94</f>
        <v>8.9628389792870564E-2</v>
      </c>
    </row>
    <row r="156" spans="3:13" x14ac:dyDescent="0.25">
      <c r="C156" s="2" t="str">
        <f>+'(AUSBLENDEN) Bewertung'!C95</f>
        <v>Diskontierungsfaktor</v>
      </c>
      <c r="D156" s="19" t="str">
        <f>+'(AUSBLENDEN) Bewertung'!D95</f>
        <v>Faktor</v>
      </c>
      <c r="H156" s="50">
        <f ca="1">+'(AUSBLENDEN) Bewertung'!H95</f>
        <v>0.9158209733138305</v>
      </c>
      <c r="I156" s="50">
        <f ca="1">+'(AUSBLENDEN) Bewertung'!I95</f>
        <v>0.91805403098035732</v>
      </c>
      <c r="J156" s="50">
        <f ca="1">+'(AUSBLENDEN) Bewertung'!J95</f>
        <v>0.91794154893005853</v>
      </c>
      <c r="K156" s="50">
        <f ca="1">+'(AUSBLENDEN) Bewertung'!K95</f>
        <v>0.91785303438657728</v>
      </c>
      <c r="L156" s="50">
        <f ca="1">+'(AUSBLENDEN) Bewertung'!L95</f>
        <v>0.91778726733880356</v>
      </c>
      <c r="M156" s="50">
        <f ca="1">+'(AUSBLENDEN) Bewertung'!M95</f>
        <v>13.399726334381295</v>
      </c>
    </row>
    <row r="157" spans="3:13" x14ac:dyDescent="0.25">
      <c r="C157" s="4" t="str">
        <f>+'(AUSBLENDEN) Bewertung'!C96</f>
        <v>Wert des Gesamtkapitals</v>
      </c>
      <c r="D157" s="19" t="str">
        <f>+'(AUSBLENDEN) Bewertung'!D96</f>
        <v>in Tsd. €</v>
      </c>
      <c r="E157" s="8"/>
      <c r="F157" s="8"/>
      <c r="H157" s="75">
        <f ca="1">+'(AUSBLENDEN) Bewertung'!H96</f>
        <v>1677.0638454129098</v>
      </c>
      <c r="I157" s="75">
        <f ca="1">+'(AUSBLENDEN) Bewertung'!I96</f>
        <v>1766.8288156612232</v>
      </c>
      <c r="J157" s="75">
        <f ca="1">+'(AUSBLENDEN) Bewertung'!J96</f>
        <v>1842.7548254681008</v>
      </c>
      <c r="K157" s="75">
        <f ca="1">+'(AUSBLENDEN) Bewertung'!K96</f>
        <v>1907.2658346558144</v>
      </c>
      <c r="L157" s="75">
        <f ca="1">+'(AUSBLENDEN) Bewertung'!L96</f>
        <v>1958.2097355759504</v>
      </c>
      <c r="M157" s="75">
        <f ca="1">+'(AUSBLENDEN) Bewertung'!M96</f>
        <v>1993.1772431582879</v>
      </c>
    </row>
    <row r="158" spans="3:13" x14ac:dyDescent="0.25">
      <c r="C158" s="42" t="e">
        <f>+'(AUSBLENDEN) Bewertung'!#REF!</f>
        <v>#REF!</v>
      </c>
      <c r="D158" s="19" t="e">
        <f>+'(AUSBLENDEN) Bewertung'!#REF!</f>
        <v>#REF!</v>
      </c>
      <c r="H158" s="75" t="e">
        <f>+'(AUSBLENDEN) Bewertung'!#REF!</f>
        <v>#REF!</v>
      </c>
      <c r="I158" s="75" t="e">
        <f>+'(AUSBLENDEN) Bewertung'!#REF!</f>
        <v>#REF!</v>
      </c>
      <c r="J158" s="75" t="e">
        <f>+'(AUSBLENDEN) Bewertung'!#REF!</f>
        <v>#REF!</v>
      </c>
      <c r="K158" s="75" t="e">
        <f>+'(AUSBLENDEN) Bewertung'!#REF!</f>
        <v>#REF!</v>
      </c>
      <c r="L158" s="75" t="e">
        <f>+'(AUSBLENDEN) Bewertung'!#REF!</f>
        <v>#REF!</v>
      </c>
      <c r="M158" s="75" t="e">
        <f>+'(AUSBLENDEN) Bewertung'!#REF!</f>
        <v>#REF!</v>
      </c>
    </row>
    <row r="159" spans="3:13" ht="15.75" thickBot="1" x14ac:dyDescent="0.3">
      <c r="C159" s="55" t="e">
        <f>+'(AUSBLENDEN) Bewertung'!#REF!</f>
        <v>#REF!</v>
      </c>
      <c r="D159" s="56" t="e">
        <f>+'(AUSBLENDEN) Bewertung'!#REF!</f>
        <v>#REF!</v>
      </c>
      <c r="E159" s="57"/>
      <c r="F159" s="57"/>
      <c r="G159" s="58"/>
      <c r="H159" s="83" t="e">
        <f>+'(AUSBLENDEN) Bewertung'!#REF!</f>
        <v>#REF!</v>
      </c>
      <c r="I159" s="83" t="e">
        <f>+'(AUSBLENDEN) Bewertung'!#REF!</f>
        <v>#REF!</v>
      </c>
      <c r="J159" s="83" t="e">
        <f>+'(AUSBLENDEN) Bewertung'!#REF!</f>
        <v>#REF!</v>
      </c>
      <c r="K159" s="83" t="e">
        <f>+'(AUSBLENDEN) Bewertung'!#REF!</f>
        <v>#REF!</v>
      </c>
      <c r="L159" s="83" t="e">
        <f>+'(AUSBLENDEN) Bewertung'!#REF!</f>
        <v>#REF!</v>
      </c>
      <c r="M159" s="83" t="e">
        <f>+'(AUSBLENDEN) Bewertung'!#REF!</f>
        <v>#REF!</v>
      </c>
    </row>
    <row r="160" spans="3:13" ht="15.75" thickTop="1" x14ac:dyDescent="0.25"/>
    <row r="162" spans="1:12" s="3" customFormat="1" ht="27" thickBot="1" x14ac:dyDescent="0.45">
      <c r="A162" s="2"/>
      <c r="B162" s="2"/>
      <c r="C162" s="3" t="s">
        <v>293</v>
      </c>
      <c r="D162" s="97"/>
    </row>
    <row r="166" spans="1:12" x14ac:dyDescent="0.25">
      <c r="C166" s="102" t="s">
        <v>260</v>
      </c>
    </row>
    <row r="167" spans="1:12" x14ac:dyDescent="0.25">
      <c r="C167" s="2" t="s">
        <v>265</v>
      </c>
      <c r="D167" s="96" t="s">
        <v>41</v>
      </c>
      <c r="G167" s="99">
        <f ca="1">+'4. Input_Plan'!P73/'4. Input_Plan'!P58</f>
        <v>0.26206740133305645</v>
      </c>
      <c r="I167" s="2" t="str">
        <f>+C167</f>
        <v>EBIT Marge  (nachhaltig)</v>
      </c>
      <c r="J167" s="39">
        <f ca="1">+G167</f>
        <v>0.26206740133305645</v>
      </c>
    </row>
    <row r="168" spans="1:12" x14ac:dyDescent="0.25">
      <c r="C168" s="2" t="s">
        <v>266</v>
      </c>
      <c r="D168" s="96" t="s">
        <v>259</v>
      </c>
      <c r="G168" s="99" t="e">
        <f>+AVERAGE(G203:K203)</f>
        <v>#REF!</v>
      </c>
      <c r="I168" s="2" t="str">
        <f>+C168</f>
        <v>EBIT Marge (historisch)</v>
      </c>
      <c r="J168" s="39" t="e">
        <f>+G168</f>
        <v>#REF!</v>
      </c>
    </row>
    <row r="170" spans="1:12" x14ac:dyDescent="0.25">
      <c r="C170" s="2" t="s">
        <v>273</v>
      </c>
      <c r="D170" s="96" t="s">
        <v>276</v>
      </c>
      <c r="G170" s="154">
        <f ca="1">+'(AUSBLENDEN) Bewertung'!G88/'(AUSBLENDEN) Bewertung'!M12</f>
        <v>7.1836185044068914</v>
      </c>
    </row>
    <row r="171" spans="1:12" x14ac:dyDescent="0.25">
      <c r="C171" s="2" t="s">
        <v>272</v>
      </c>
      <c r="D171" s="96" t="s">
        <v>276</v>
      </c>
      <c r="G171" s="154">
        <f ca="1">+'(AUSBLENDEN) Bewertung'!G88/'(AUSBLENDEN) Bewertung'!G12</f>
        <v>7.6544111571569715</v>
      </c>
    </row>
    <row r="173" spans="1:12" x14ac:dyDescent="0.25">
      <c r="C173" s="8" t="s">
        <v>261</v>
      </c>
      <c r="G173" s="328" t="s">
        <v>286</v>
      </c>
      <c r="H173" s="329"/>
      <c r="I173" s="329"/>
      <c r="J173" s="329"/>
      <c r="K173" s="329"/>
      <c r="L173" s="330"/>
    </row>
    <row r="175" spans="1:12" x14ac:dyDescent="0.25">
      <c r="C175" s="102" t="s">
        <v>274</v>
      </c>
      <c r="G175" s="119" t="s">
        <v>223</v>
      </c>
    </row>
    <row r="176" spans="1:12" x14ac:dyDescent="0.25">
      <c r="C176" s="67" t="s">
        <v>222</v>
      </c>
      <c r="D176" s="96" t="s">
        <v>41</v>
      </c>
      <c r="G176" s="99" t="e">
        <f>+AVERAGE('3. Input_Historie'!#REF!)</f>
        <v>#REF!</v>
      </c>
      <c r="H176" s="105"/>
      <c r="I176" s="105"/>
      <c r="J176" s="105"/>
      <c r="K176" s="105"/>
    </row>
    <row r="177" spans="3:12" x14ac:dyDescent="0.25">
      <c r="C177" s="67" t="s">
        <v>50</v>
      </c>
      <c r="D177" s="96" t="s">
        <v>41</v>
      </c>
      <c r="G177" s="100" t="e">
        <f>+AVERAGE('3. Input_Historie'!#REF!)</f>
        <v>#REF!</v>
      </c>
      <c r="H177" s="105"/>
      <c r="I177" s="105"/>
      <c r="J177" s="105"/>
      <c r="K177" s="105"/>
    </row>
    <row r="178" spans="3:12" x14ac:dyDescent="0.25">
      <c r="C178" s="67"/>
      <c r="E178" s="100"/>
      <c r="G178" s="45"/>
      <c r="H178" s="105"/>
      <c r="I178" s="105"/>
      <c r="J178" s="105"/>
      <c r="K178" s="105"/>
    </row>
    <row r="179" spans="3:12" x14ac:dyDescent="0.25">
      <c r="C179" s="8" t="s">
        <v>261</v>
      </c>
      <c r="E179" s="100"/>
      <c r="G179" s="328" t="s">
        <v>286</v>
      </c>
      <c r="H179" s="329"/>
      <c r="I179" s="329"/>
      <c r="J179" s="329"/>
      <c r="K179" s="329"/>
      <c r="L179" s="330"/>
    </row>
    <row r="180" spans="3:12" x14ac:dyDescent="0.25">
      <c r="C180" s="67"/>
      <c r="E180" s="100"/>
      <c r="G180" s="45"/>
      <c r="H180" s="105"/>
      <c r="I180" s="105"/>
      <c r="J180" s="105"/>
      <c r="K180" s="105"/>
    </row>
    <row r="181" spans="3:12" x14ac:dyDescent="0.25">
      <c r="C181" s="67"/>
      <c r="E181" s="100"/>
      <c r="G181" s="45"/>
      <c r="H181" s="105"/>
      <c r="I181" s="105"/>
      <c r="J181" s="105"/>
      <c r="K181" s="105"/>
    </row>
    <row r="182" spans="3:12" x14ac:dyDescent="0.25">
      <c r="C182" s="102" t="s">
        <v>262</v>
      </c>
    </row>
    <row r="183" spans="3:12" x14ac:dyDescent="0.25">
      <c r="C183" s="2" t="s">
        <v>264</v>
      </c>
      <c r="D183" s="96" t="s">
        <v>275</v>
      </c>
      <c r="G183" s="61">
        <f ca="1">+'(AUSBLENDEN) Bewertung'!M12+'(AUSBLENDEN) Bewertung'!M16</f>
        <v>166.11139787400836</v>
      </c>
    </row>
    <row r="184" spans="3:12" x14ac:dyDescent="0.25">
      <c r="C184" s="2" t="s">
        <v>267</v>
      </c>
      <c r="D184" s="96" t="s">
        <v>275</v>
      </c>
      <c r="G184" s="61">
        <f ca="1">-SUM('(AUSBLENDEN) Bewertung'!M32:M34)</f>
        <v>9.1537572345982312</v>
      </c>
    </row>
    <row r="185" spans="3:12" x14ac:dyDescent="0.25">
      <c r="C185" s="2" t="s">
        <v>268</v>
      </c>
      <c r="D185" s="96" t="s">
        <v>41</v>
      </c>
      <c r="G185" s="118">
        <f ca="1">G184/G183</f>
        <v>5.5106135712259453E-2</v>
      </c>
    </row>
    <row r="186" spans="3:12" x14ac:dyDescent="0.25">
      <c r="C186" s="2" t="s">
        <v>269</v>
      </c>
      <c r="D186" s="96" t="s">
        <v>275</v>
      </c>
      <c r="G186" s="61">
        <f ca="1">+G183+G184</f>
        <v>175.26515510860659</v>
      </c>
    </row>
    <row r="187" spans="3:12" x14ac:dyDescent="0.25">
      <c r="C187" s="61" t="e">
        <f>+'(AUSBLENDEN) Bewertung'!#REF!</f>
        <v>#REF!</v>
      </c>
      <c r="D187" s="96" t="s">
        <v>41</v>
      </c>
      <c r="G187" s="118" t="e">
        <f>+'(AUSBLENDEN) Bewertung'!#REF!</f>
        <v>#REF!</v>
      </c>
    </row>
    <row r="188" spans="3:12" x14ac:dyDescent="0.25">
      <c r="C188" s="61"/>
      <c r="G188" s="118"/>
    </row>
    <row r="189" spans="3:12" x14ac:dyDescent="0.25">
      <c r="C189" s="149" t="s">
        <v>270</v>
      </c>
      <c r="D189" s="109" t="s">
        <v>41</v>
      </c>
      <c r="E189" s="120"/>
      <c r="F189" s="120"/>
      <c r="G189" s="150" t="e">
        <f ca="1">+G187/G185</f>
        <v>#REF!</v>
      </c>
    </row>
    <row r="190" spans="3:12" x14ac:dyDescent="0.25">
      <c r="C190" s="151" t="s">
        <v>271</v>
      </c>
      <c r="D190" s="152" t="s">
        <v>41</v>
      </c>
      <c r="E190" s="94"/>
      <c r="F190" s="94"/>
      <c r="G190" s="153">
        <f ca="1">+'(AUSBLENDEN) Bewertung'!M77</f>
        <v>8.9628389792870564E-2</v>
      </c>
    </row>
    <row r="192" spans="3:12" x14ac:dyDescent="0.25">
      <c r="C192" s="8" t="s">
        <v>261</v>
      </c>
      <c r="G192" s="328" t="s">
        <v>286</v>
      </c>
      <c r="H192" s="329"/>
      <c r="I192" s="329"/>
      <c r="J192" s="329"/>
      <c r="K192" s="329"/>
      <c r="L192" s="330"/>
    </row>
    <row r="195" spans="1:20" s="3" customFormat="1" ht="27" thickBot="1" x14ac:dyDescent="0.45">
      <c r="A195" s="2"/>
      <c r="B195" s="2"/>
      <c r="C195" s="3" t="s">
        <v>239</v>
      </c>
      <c r="D195" s="97"/>
    </row>
    <row r="197" spans="1:20" x14ac:dyDescent="0.25">
      <c r="G197" s="23" t="s">
        <v>35</v>
      </c>
      <c r="H197" s="9"/>
      <c r="I197" s="9"/>
      <c r="J197" s="9"/>
      <c r="K197" s="20" t="s">
        <v>38</v>
      </c>
      <c r="L197" s="10" t="s">
        <v>39</v>
      </c>
      <c r="M197" s="10"/>
      <c r="N197" s="10"/>
      <c r="O197" s="10"/>
      <c r="P197" s="10"/>
      <c r="Q197" s="73" t="s">
        <v>104</v>
      </c>
      <c r="S197" s="30" t="s">
        <v>227</v>
      </c>
      <c r="T197" s="31"/>
    </row>
    <row r="198" spans="1:20" x14ac:dyDescent="0.25">
      <c r="E198" s="61"/>
      <c r="G198" s="13" t="e">
        <f>+'4. Input_Plan'!#REF!</f>
        <v>#REF!</v>
      </c>
      <c r="H198" s="13">
        <f ca="1">+'4. Input_Plan'!G57</f>
        <v>2023</v>
      </c>
      <c r="I198" s="13">
        <f ca="1">+'4. Input_Plan'!H57</f>
        <v>2024</v>
      </c>
      <c r="J198" s="13">
        <f ca="1">+'4. Input_Plan'!I57</f>
        <v>2025</v>
      </c>
      <c r="K198" s="21">
        <f ca="1">+'4. Input_Plan'!J57</f>
        <v>2026</v>
      </c>
      <c r="L198" s="14">
        <f ca="1">+'4. Input_Plan'!K57</f>
        <v>2027</v>
      </c>
      <c r="M198" s="11">
        <f ca="1">+'4. Input_Plan'!L57</f>
        <v>2028</v>
      </c>
      <c r="N198" s="11">
        <f ca="1">+'4. Input_Plan'!M57</f>
        <v>2029</v>
      </c>
      <c r="O198" s="11">
        <f ca="1">+'4. Input_Plan'!N57</f>
        <v>2030</v>
      </c>
      <c r="P198" s="12">
        <f ca="1">+'4. Input_Plan'!O57</f>
        <v>2031</v>
      </c>
      <c r="Q198" s="74">
        <f ca="1">+'4. Input_Plan'!P57</f>
        <v>2032</v>
      </c>
      <c r="S198" s="28" t="s">
        <v>35</v>
      </c>
      <c r="T198" s="29" t="s">
        <v>63</v>
      </c>
    </row>
    <row r="199" spans="1:20" x14ac:dyDescent="0.25">
      <c r="C199" s="102" t="s">
        <v>225</v>
      </c>
    </row>
    <row r="200" spans="1:20" x14ac:dyDescent="0.25">
      <c r="C200" s="2" t="s">
        <v>230</v>
      </c>
      <c r="D200" s="6" t="s">
        <v>41</v>
      </c>
      <c r="G200" s="87"/>
      <c r="H200" s="26" t="e">
        <f>+'4. Input_Plan'!G58/'4. Input_Plan'!#REF!-1</f>
        <v>#REF!</v>
      </c>
      <c r="I200" s="26">
        <f>+'4. Input_Plan'!H58/'4. Input_Plan'!G58-1</f>
        <v>0</v>
      </c>
      <c r="J200" s="26">
        <f>+'4. Input_Plan'!I58/'4. Input_Plan'!H58-1</f>
        <v>0.35251798561151082</v>
      </c>
      <c r="K200" s="26">
        <f>+'4. Input_Plan'!J58/'4. Input_Plan'!I58-1</f>
        <v>3.1914893617021267E-2</v>
      </c>
      <c r="L200" s="26">
        <f>+'4. Input_Plan'!K58/'4. Input_Plan'!J58-1</f>
        <v>5.0000000000000044E-2</v>
      </c>
      <c r="M200" s="26">
        <f>+'4. Input_Plan'!L58/'4. Input_Plan'!K58-1</f>
        <v>5.0000000000000044E-2</v>
      </c>
      <c r="N200" s="26">
        <f>+'4. Input_Plan'!M58/'4. Input_Plan'!L58-1</f>
        <v>5.0000000000000044E-2</v>
      </c>
      <c r="O200" s="26">
        <f>+'4. Input_Plan'!N58/'4. Input_Plan'!M58-1</f>
        <v>5.0000000000000044E-2</v>
      </c>
      <c r="P200" s="26">
        <f>+'4. Input_Plan'!O58/'4. Input_Plan'!N58-1</f>
        <v>5.0000000000000044E-2</v>
      </c>
      <c r="Q200" s="26">
        <f ca="1">+'4. Input_Plan'!P58/'4. Input_Plan'!O58-1</f>
        <v>1.4999999999999902E-2</v>
      </c>
      <c r="S200" s="103" t="e">
        <f ca="1">('4. Input_Plan'!J58/'4. Input_Plan'!#REF!)^(1/($K$198-$G$198))-1</f>
        <v>#REF!</v>
      </c>
      <c r="T200" s="103">
        <f ca="1">('4. Input_Plan'!O58/'4. Input_Plan'!K58)^(1/($P$198-$L$198))-1</f>
        <v>5.0000000000000044E-2</v>
      </c>
    </row>
    <row r="201" spans="1:20" x14ac:dyDescent="0.25">
      <c r="C201" s="2" t="s">
        <v>231</v>
      </c>
      <c r="D201" s="6" t="s">
        <v>41</v>
      </c>
      <c r="G201" s="26" t="e">
        <f>+'4. Input_Plan'!#REF!/'4. Input_Plan'!#REF!</f>
        <v>#REF!</v>
      </c>
      <c r="H201" s="26">
        <f>+'4. Input_Plan'!G61/'4. Input_Plan'!G58</f>
        <v>0.89999999999999991</v>
      </c>
      <c r="I201" s="26">
        <f>+'4. Input_Plan'!H61/'4. Input_Plan'!H58</f>
        <v>0.89999999999999991</v>
      </c>
      <c r="J201" s="26">
        <f>+'4. Input_Plan'!I61/'4. Input_Plan'!I58</f>
        <v>0.9</v>
      </c>
      <c r="K201" s="26">
        <f>+'4. Input_Plan'!J61/'4. Input_Plan'!J58</f>
        <v>0.9</v>
      </c>
      <c r="L201" s="26">
        <f>+'4. Input_Plan'!K61/'4. Input_Plan'!K58</f>
        <v>0.90380952380952373</v>
      </c>
      <c r="M201" s="26">
        <f>+'4. Input_Plan'!L61/'4. Input_Plan'!L58</f>
        <v>0.9074739229024944</v>
      </c>
      <c r="N201" s="26">
        <f>+'4. Input_Plan'!M61/'4. Input_Plan'!M58</f>
        <v>0.91099872583954222</v>
      </c>
      <c r="O201" s="26">
        <f>+'4. Input_Plan'!N61/'4. Input_Plan'!N58</f>
        <v>0.9143892505694643</v>
      </c>
      <c r="P201" s="26">
        <f>+'4. Input_Plan'!O61/'4. Input_Plan'!O58</f>
        <v>0.91765061245253243</v>
      </c>
      <c r="Q201" s="26">
        <f ca="1">+'4. Input_Plan'!P61/'4. Input_Plan'!P58</f>
        <v>0.91765061245253243</v>
      </c>
      <c r="S201" s="103" t="e">
        <f ca="1">('4. Input_Plan'!J61/'4. Input_Plan'!#REF!)^(1/($K$198-$G$198))-1</f>
        <v>#REF!</v>
      </c>
      <c r="T201" s="103">
        <f ca="1">('4. Input_Plan'!O61/'4. Input_Plan'!K61)^(1/($P$198-$L$198))-1</f>
        <v>5.3997086610714229E-2</v>
      </c>
    </row>
    <row r="202" spans="1:20" x14ac:dyDescent="0.25">
      <c r="C202" s="2" t="s">
        <v>228</v>
      </c>
      <c r="D202" s="6" t="s">
        <v>41</v>
      </c>
      <c r="G202" s="26" t="e">
        <f>+'4. Input_Plan'!#REF!/'4. Input_Plan'!#REF!</f>
        <v>#REF!</v>
      </c>
      <c r="H202" s="26">
        <f>+'4. Input_Plan'!G69/'4. Input_Plan'!G58</f>
        <v>0.36499999999999988</v>
      </c>
      <c r="I202" s="26">
        <f>+'4. Input_Plan'!H69/'4. Input_Plan'!H58</f>
        <v>0.36499999999999988</v>
      </c>
      <c r="J202" s="26">
        <f>+'4. Input_Plan'!I69/'4. Input_Plan'!I58</f>
        <v>0.36499999999999999</v>
      </c>
      <c r="K202" s="26">
        <f>+'4. Input_Plan'!J69/'4. Input_Plan'!J58</f>
        <v>0.3650000000000001</v>
      </c>
      <c r="L202" s="26">
        <f>+'4. Input_Plan'!K69/'4. Input_Plan'!K58</f>
        <v>0.38409523809523799</v>
      </c>
      <c r="M202" s="26">
        <f>+'4. Input_Plan'!L69/'4. Input_Plan'!L58</f>
        <v>0.40260861678004539</v>
      </c>
      <c r="N202" s="26">
        <f>+'4. Input_Plan'!M69/'4. Input_Plan'!M58</f>
        <v>0.42055814274916314</v>
      </c>
      <c r="O202" s="26">
        <f>+'4. Input_Plan'!N69/'4. Input_Plan'!N58</f>
        <v>0.43796125556738197</v>
      </c>
      <c r="P202" s="26">
        <f>+'4. Input_Plan'!O69/'4. Input_Plan'!O58</f>
        <v>0.45483484587908102</v>
      </c>
      <c r="Q202" s="26">
        <f ca="1">+'4. Input_Plan'!P69/'4. Input_Plan'!P58</f>
        <v>0.45483484587908102</v>
      </c>
      <c r="S202" s="103" t="e">
        <f ca="1">('4. Input_Plan'!J69/'4. Input_Plan'!#REF!)^(1/($K$198-$G$198))-1</f>
        <v>#REF!</v>
      </c>
      <c r="T202" s="103">
        <f ca="1">('4. Input_Plan'!O69/'4. Input_Plan'!K69)^(1/($P$198-$L$198))-1</f>
        <v>9.532500120522025E-2</v>
      </c>
    </row>
    <row r="203" spans="1:20" x14ac:dyDescent="0.25">
      <c r="C203" s="2" t="s">
        <v>229</v>
      </c>
      <c r="D203" s="6" t="s">
        <v>41</v>
      </c>
      <c r="G203" s="26" t="e">
        <f>+'4. Input_Plan'!#REF!/'4. Input_Plan'!#REF!</f>
        <v>#REF!</v>
      </c>
      <c r="H203" s="26">
        <f>+'4. Input_Plan'!G84/'4. Input_Plan'!G58</f>
        <v>0.30025179856115097</v>
      </c>
      <c r="I203" s="26">
        <f>+'4. Input_Plan'!H84/'4. Input_Plan'!H58</f>
        <v>0.30025179856115097</v>
      </c>
      <c r="J203" s="26">
        <f>+'4. Input_Plan'!I84/'4. Input_Plan'!I58</f>
        <v>0.31712765957446809</v>
      </c>
      <c r="K203" s="26">
        <f>+'4. Input_Plan'!J84/'4. Input_Plan'!J58</f>
        <v>0.31860824742268051</v>
      </c>
      <c r="L203" s="26">
        <f ca="1">+'4. Input_Plan'!K84/'4. Input_Plan'!K58</f>
        <v>0.27557430394838339</v>
      </c>
      <c r="M203" s="26">
        <f ca="1">+'4. Input_Plan'!L84/'4. Input_Plan'!L58</f>
        <v>0.27068391759256483</v>
      </c>
      <c r="N203" s="26">
        <f ca="1">+'4. Input_Plan'!M84/'4. Input_Plan'!M58</f>
        <v>0.26634414352299124</v>
      </c>
      <c r="O203" s="26">
        <f ca="1">+'4. Input_Plan'!N84/'4. Input_Plan'!N58</f>
        <v>0.26251935154245626</v>
      </c>
      <c r="P203" s="26">
        <f ca="1">+'4. Input_Plan'!O84/'4. Input_Plan'!O58</f>
        <v>0.2591758896648661</v>
      </c>
      <c r="Q203" s="26">
        <f ca="1">+'4. Input_Plan'!P84/'4. Input_Plan'!P58</f>
        <v>0.26206740133305645</v>
      </c>
      <c r="S203" s="103" t="e">
        <f ca="1">('4. Input_Plan'!J84/'4. Input_Plan'!#REF!)^(1/($K$198-$G$198))-1</f>
        <v>#REF!</v>
      </c>
      <c r="T203" s="103">
        <f ca="1">('4. Input_Plan'!O84/'4. Input_Plan'!K84)^(1/($P$198-$L$198))-1</f>
        <v>3.4018404377745393E-2</v>
      </c>
    </row>
    <row r="204" spans="1:20" x14ac:dyDescent="0.25">
      <c r="C204" s="2" t="s">
        <v>248</v>
      </c>
      <c r="D204" s="6" t="s">
        <v>41</v>
      </c>
      <c r="G204" s="26" t="e">
        <f>+'4. Input_Plan'!#REF!/'4. Input_Plan'!#REF!</f>
        <v>#REF!</v>
      </c>
      <c r="H204" s="26">
        <f>+'4. Input_Plan'!G89/'4. Input_Plan'!G58</f>
        <v>0.29525179856115097</v>
      </c>
      <c r="I204" s="26">
        <f>+'4. Input_Plan'!H89/'4. Input_Plan'!H58</f>
        <v>0.29525179856115097</v>
      </c>
      <c r="J204" s="26">
        <f>+'4. Input_Plan'!I89/'4. Input_Plan'!I58</f>
        <v>0.31212765957446809</v>
      </c>
      <c r="K204" s="26">
        <f>+'4. Input_Plan'!J89/'4. Input_Plan'!J58</f>
        <v>0.31360824742268051</v>
      </c>
      <c r="L204" s="26">
        <f ca="1">+'4. Input_Plan'!K89/'4. Input_Plan'!K58</f>
        <v>0.26821053369801523</v>
      </c>
      <c r="M204" s="26">
        <f ca="1">+'4. Input_Plan'!L89/'4. Input_Plan'!L58</f>
        <v>0.22966671542451059</v>
      </c>
      <c r="N204" s="26">
        <f ca="1">+'4. Input_Plan'!M89/'4. Input_Plan'!M58</f>
        <v>0.22728014145817765</v>
      </c>
      <c r="O204" s="26">
        <f ca="1">+'4. Input_Plan'!N89/'4. Input_Plan'!N58</f>
        <v>0.22531554005215765</v>
      </c>
      <c r="P204" s="26">
        <f ca="1">+'4. Input_Plan'!O89/'4. Input_Plan'!O58</f>
        <v>0.22374368824553409</v>
      </c>
      <c r="Q204" s="26">
        <f ca="1">+'4. Input_Plan'!P89/'4. Input_Plan'!P58</f>
        <v>0.22715882850612829</v>
      </c>
      <c r="S204" s="103" t="e">
        <f ca="1">('4. Input_Plan'!J89/'4. Input_Plan'!#REF!)^(1/($K$198-$G$198))-1</f>
        <v>#REF!</v>
      </c>
      <c r="T204" s="103">
        <f ca="1">('4. Input_Plan'!O89/'4. Input_Plan'!K89)^(1/($P$198-$L$198))-1</f>
        <v>3.4784254459725439E-3</v>
      </c>
    </row>
    <row r="205" spans="1:20" x14ac:dyDescent="0.25">
      <c r="C205" s="2" t="s">
        <v>247</v>
      </c>
      <c r="D205" s="6" t="s">
        <v>41</v>
      </c>
      <c r="G205" s="26" t="e">
        <f>+'4. Input_Plan'!#REF!/'4. Input_Plan'!#REF!</f>
        <v>#REF!</v>
      </c>
      <c r="H205" s="26">
        <f>+'4. Input_Plan'!G93/'4. Input_Plan'!G58</f>
        <v>0.23050359712230203</v>
      </c>
      <c r="I205" s="26">
        <f>+'4. Input_Plan'!H93/'4. Input_Plan'!H58</f>
        <v>0.21971223021582723</v>
      </c>
      <c r="J205" s="26">
        <f>+'4. Input_Plan'!I93/'4. Input_Plan'!I58</f>
        <v>0.24829787234042555</v>
      </c>
      <c r="K205" s="26">
        <f>+'4. Input_Plan'!J93/'4. Input_Plan'!J58</f>
        <v>0.25175257731958772</v>
      </c>
      <c r="L205" s="26">
        <f ca="1">+'4. Input_Plan'!K93/'4. Input_Plan'!K58</f>
        <v>0.19291042636229744</v>
      </c>
      <c r="M205" s="26">
        <f ca="1">+'4. Input_Plan'!L93/'4. Input_Plan'!L58</f>
        <v>0.16518778506907925</v>
      </c>
      <c r="N205" s="26">
        <f ca="1">+'4. Input_Plan'!M93/'4. Input_Plan'!M58</f>
        <v>0.16347124174379429</v>
      </c>
      <c r="O205" s="26">
        <f ca="1">+'4. Input_Plan'!N93/'4. Input_Plan'!N58</f>
        <v>0.16205820218251438</v>
      </c>
      <c r="P205" s="26">
        <f ca="1">+'4. Input_Plan'!O93/'4. Input_Plan'!O58</f>
        <v>0.16092764777060037</v>
      </c>
      <c r="Q205" s="26">
        <f ca="1">+'4. Input_Plan'!P93/'4. Input_Plan'!P58</f>
        <v>0.16338398740303275</v>
      </c>
      <c r="S205" s="103" t="e">
        <f ca="1">('4. Input_Plan'!J93/'4. Input_Plan'!#REF!)^(1/($K$198-$G$198))-1</f>
        <v>#REF!</v>
      </c>
      <c r="T205" s="103">
        <f ca="1">('4. Input_Plan'!O93/'4. Input_Plan'!K93)^(1/($P$198-$L$198))-1</f>
        <v>3.4784254459725439E-3</v>
      </c>
    </row>
    <row r="207" spans="1:20" x14ac:dyDescent="0.25">
      <c r="C207" s="102" t="s">
        <v>226</v>
      </c>
    </row>
    <row r="208" spans="1:20" x14ac:dyDescent="0.25">
      <c r="C208" s="2" t="s">
        <v>250</v>
      </c>
      <c r="D208" s="6" t="s">
        <v>304</v>
      </c>
      <c r="G208" s="87"/>
      <c r="H208" s="104" t="e">
        <f>+'4. Input_Plan'!G58/(('4. Input_Plan'!G121+'4. Input_Plan'!#REF!)/2)</f>
        <v>#REF!</v>
      </c>
      <c r="I208" s="104">
        <f>+'4. Input_Plan'!H58/(('4. Input_Plan'!H121+'4. Input_Plan'!G121)/2)</f>
        <v>1.4240344227025925</v>
      </c>
      <c r="J208" s="104">
        <f>+'4. Input_Plan'!I58/(('4. Input_Plan'!I121+'4. Input_Plan'!H121)/2)</f>
        <v>1.3321995464852614</v>
      </c>
      <c r="K208" s="104">
        <f>+'4. Input_Plan'!J58/(('4. Input_Plan'!J121+'4. Input_Plan'!I121)/2)</f>
        <v>0.99804506636485257</v>
      </c>
      <c r="L208" s="104">
        <f ca="1">+'4. Input_Plan'!K58/(('4. Input_Plan'!K121+'4. Input_Plan'!J121)/2)</f>
        <v>0.69498549371922524</v>
      </c>
      <c r="M208" s="104">
        <f ca="1">+'4. Input_Plan'!L58/(('4. Input_Plan'!L121+'4. Input_Plan'!K121)/2)</f>
        <v>0.56828227880550453</v>
      </c>
      <c r="N208" s="104">
        <f ca="1">+'4. Input_Plan'!M58/(('4. Input_Plan'!M121+'4. Input_Plan'!L121)/2)</f>
        <v>0.57073640259879421</v>
      </c>
      <c r="O208" s="104">
        <f ca="1">+'4. Input_Plan'!N58/(('4. Input_Plan'!N121+'4. Input_Plan'!M121)/2)</f>
        <v>0.58015132440703165</v>
      </c>
      <c r="P208" s="104">
        <f ca="1">+'4. Input_Plan'!O58/(('4. Input_Plan'!O121+'4. Input_Plan'!N121)/2)</f>
        <v>0.59651953169375938</v>
      </c>
      <c r="Q208" s="104">
        <f ca="1">+'4. Input_Plan'!P58/(('4. Input_Plan'!P121+'4. Input_Plan'!O121)/2)</f>
        <v>0.59683489302114279</v>
      </c>
    </row>
    <row r="209" spans="3:17" x14ac:dyDescent="0.25">
      <c r="C209" s="2" t="s">
        <v>236</v>
      </c>
      <c r="D209" s="6" t="s">
        <v>232</v>
      </c>
      <c r="G209" s="25" t="e">
        <f>'4. Input_Plan'!#REF!/-'4. Input_Plan'!#REF!*365</f>
        <v>#REF!</v>
      </c>
      <c r="H209" s="25">
        <f>'4. Input_Plan'!G110/-'4. Input_Plan'!G60*365</f>
        <v>730</v>
      </c>
      <c r="I209" s="25">
        <f>'4. Input_Plan'!H110/-'4. Input_Plan'!H60*365</f>
        <v>730</v>
      </c>
      <c r="J209" s="25">
        <f>'4. Input_Plan'!I110/-'4. Input_Plan'!I60*365</f>
        <v>730</v>
      </c>
      <c r="K209" s="25">
        <f>'4. Input_Plan'!J110/-'4. Input_Plan'!J60*365</f>
        <v>730</v>
      </c>
      <c r="L209" s="25">
        <f>'4. Input_Plan'!K110/-'4. Input_Plan'!K60*365</f>
        <v>758.91089108910899</v>
      </c>
      <c r="M209" s="25">
        <f>'4. Input_Plan'!L110/-'4. Input_Plan'!L60*365</f>
        <v>788.96676796392535</v>
      </c>
      <c r="N209" s="25">
        <f>'4. Input_Plan'!M110/-'4. Input_Plan'!M60*365</f>
        <v>820.21297659616005</v>
      </c>
      <c r="O209" s="25">
        <f>'4. Input_Plan'!N110/-'4. Input_Plan'!N60*365</f>
        <v>852.69665883759194</v>
      </c>
      <c r="P209" s="25">
        <f>'4. Input_Plan'!O110/-'4. Input_Plan'!O60*365</f>
        <v>886.46682354403129</v>
      </c>
      <c r="Q209" s="25">
        <f ca="1">'4. Input_Plan'!P110/-'4. Input_Plan'!P60*365</f>
        <v>886.46682354403129</v>
      </c>
    </row>
    <row r="210" spans="3:17" x14ac:dyDescent="0.25">
      <c r="C210" s="2" t="s">
        <v>235</v>
      </c>
      <c r="D210" s="6" t="s">
        <v>232</v>
      </c>
      <c r="G210" s="25" t="e">
        <f>+'4. Input_Plan'!#REF!/'4. Input_Plan'!#REF!*365</f>
        <v>#REF!</v>
      </c>
      <c r="H210" s="25">
        <f>+'4. Input_Plan'!G111/'4. Input_Plan'!G58*365</f>
        <v>91.25</v>
      </c>
      <c r="I210" s="25">
        <f>+'4. Input_Plan'!H111/'4. Input_Plan'!H58*365</f>
        <v>91.25</v>
      </c>
      <c r="J210" s="25">
        <f>+'4. Input_Plan'!I111/'4. Input_Plan'!I58*365</f>
        <v>91.25</v>
      </c>
      <c r="K210" s="25">
        <f>+'4. Input_Plan'!J111/'4. Input_Plan'!J58*365</f>
        <v>91.25</v>
      </c>
      <c r="L210" s="25">
        <f>+'4. Input_Plan'!K111/'4. Input_Plan'!K58*365</f>
        <v>91.25</v>
      </c>
      <c r="M210" s="25">
        <f>+'4. Input_Plan'!L111/'4. Input_Plan'!L58*365</f>
        <v>91.25</v>
      </c>
      <c r="N210" s="25">
        <f>+'4. Input_Plan'!M111/'4. Input_Plan'!M58*365</f>
        <v>91.25</v>
      </c>
      <c r="O210" s="25">
        <f>+'4. Input_Plan'!N111/'4. Input_Plan'!N58*365</f>
        <v>91.25</v>
      </c>
      <c r="P210" s="25">
        <f>+'4. Input_Plan'!O111/'4. Input_Plan'!O58*365</f>
        <v>91.25</v>
      </c>
      <c r="Q210" s="25">
        <f ca="1">+'4. Input_Plan'!P111/'4. Input_Plan'!P58*365</f>
        <v>91.25</v>
      </c>
    </row>
    <row r="211" spans="3:17" x14ac:dyDescent="0.25">
      <c r="C211" s="2" t="s">
        <v>234</v>
      </c>
      <c r="D211" s="6" t="s">
        <v>232</v>
      </c>
      <c r="G211" s="25" t="e">
        <f>+'4. Input_Plan'!#REF!/-'4. Input_Plan'!#REF!*365</f>
        <v>#REF!</v>
      </c>
      <c r="H211" s="25">
        <f>+'4. Input_Plan'!G145/-'4. Input_Plan'!G60*365</f>
        <v>547.49999999999989</v>
      </c>
      <c r="I211" s="25">
        <f>+'4. Input_Plan'!H145/-'4. Input_Plan'!H60*365</f>
        <v>547.49999999999989</v>
      </c>
      <c r="J211" s="25">
        <f>+'4. Input_Plan'!I145/-'4. Input_Plan'!I60*365</f>
        <v>547.5</v>
      </c>
      <c r="K211" s="25">
        <f>+'4. Input_Plan'!J145/-'4. Input_Plan'!J60*365</f>
        <v>547.5</v>
      </c>
      <c r="L211" s="25">
        <f>+'4. Input_Plan'!K145/-'4. Input_Plan'!K60*365</f>
        <v>569.18316831683182</v>
      </c>
      <c r="M211" s="25">
        <f>+'4. Input_Plan'!L145/-'4. Input_Plan'!L60*365</f>
        <v>591.72507597294396</v>
      </c>
      <c r="N211" s="25">
        <f>+'4. Input_Plan'!M145/-'4. Input_Plan'!M60*365</f>
        <v>615.15973244712006</v>
      </c>
      <c r="O211" s="25">
        <f>+'4. Input_Plan'!N145/-'4. Input_Plan'!N60*365</f>
        <v>639.52249412819413</v>
      </c>
      <c r="P211" s="25">
        <f>+'4. Input_Plan'!O145/-'4. Input_Plan'!O60*365</f>
        <v>664.85011765802358</v>
      </c>
      <c r="Q211" s="25">
        <f ca="1">+'4. Input_Plan'!P145/-'4. Input_Plan'!P60*365</f>
        <v>664.85011765802358</v>
      </c>
    </row>
    <row r="212" spans="3:17" x14ac:dyDescent="0.25">
      <c r="C212" s="2" t="s">
        <v>253</v>
      </c>
      <c r="D212" s="6" t="s">
        <v>232</v>
      </c>
      <c r="G212" s="25" t="e">
        <f>+G209+G210-G211</f>
        <v>#REF!</v>
      </c>
      <c r="H212" s="25">
        <f t="shared" ref="H212:Q212" si="0">+H209+H210-H211</f>
        <v>273.75000000000011</v>
      </c>
      <c r="I212" s="25">
        <f t="shared" si="0"/>
        <v>273.75000000000011</v>
      </c>
      <c r="J212" s="25">
        <f t="shared" si="0"/>
        <v>273.75</v>
      </c>
      <c r="K212" s="25">
        <f t="shared" si="0"/>
        <v>273.75</v>
      </c>
      <c r="L212" s="25">
        <f t="shared" si="0"/>
        <v>280.97772277227716</v>
      </c>
      <c r="M212" s="25">
        <f t="shared" si="0"/>
        <v>288.49169199098139</v>
      </c>
      <c r="N212" s="25">
        <f t="shared" si="0"/>
        <v>296.30324414903998</v>
      </c>
      <c r="O212" s="25">
        <f t="shared" si="0"/>
        <v>304.42416470939781</v>
      </c>
      <c r="P212" s="25">
        <f t="shared" si="0"/>
        <v>312.86670588600771</v>
      </c>
      <c r="Q212" s="25">
        <f t="shared" ca="1" si="0"/>
        <v>312.86670588600771</v>
      </c>
    </row>
    <row r="214" spans="3:17" x14ac:dyDescent="0.25">
      <c r="C214" s="102" t="s">
        <v>238</v>
      </c>
    </row>
    <row r="215" spans="3:17" x14ac:dyDescent="0.25">
      <c r="C215" s="2" t="s">
        <v>241</v>
      </c>
      <c r="G215" s="104" t="e">
        <f>('4. Input_Plan'!#REF!+'4. Input_Plan'!#REF!+'4. Input_Plan'!#REF!)/('4. Input_Plan'!#REF!+SUM('4. Input_Plan'!#REF!))</f>
        <v>#REF!</v>
      </c>
      <c r="H215" s="104">
        <f>('4. Input_Plan'!G143+'4. Input_Plan'!G154+'4. Input_Plan'!G156)/('4. Input_Plan'!G69+SUM('4. Input_Plan'!G76:G83))</f>
        <v>0.59130777569725057</v>
      </c>
      <c r="I215" s="104">
        <f>('4. Input_Plan'!H143+'4. Input_Plan'!H154+'4. Input_Plan'!H156)/('4. Input_Plan'!H69+SUM('4. Input_Plan'!H76:H83))</f>
        <v>0.59130777569725057</v>
      </c>
      <c r="J215" s="104">
        <f>('4. Input_Plan'!I143+'4. Input_Plan'!I154+'4. Input_Plan'!I156)/('4. Input_Plan'!I69+SUM('4. Input_Plan'!I76:I83))</f>
        <v>0.43719032352083936</v>
      </c>
      <c r="K215" s="104">
        <f>('4. Input_Plan'!J143+'4. Input_Plan'!J154+'4. Input_Plan'!J156)/('4. Input_Plan'!J69+SUM('4. Input_Plan'!J76:J83))</f>
        <v>0.42366897330885456</v>
      </c>
      <c r="L215" s="104">
        <f ca="1">('4. Input_Plan'!K143+'4. Input_Plan'!K154+'4. Input_Plan'!K156)/('4. Input_Plan'!K69+SUM('4. Input_Plan'!K76:K83))</f>
        <v>2.2425720501006614</v>
      </c>
      <c r="M215" s="104">
        <f ca="1">('4. Input_Plan'!L143+'4. Input_Plan'!L154+'4. Input_Plan'!L156)/('4. Input_Plan'!L69+SUM('4. Input_Plan'!L76:L83))</f>
        <v>2.037571997146943</v>
      </c>
      <c r="N215" s="104">
        <f ca="1">('4. Input_Plan'!M143+'4. Input_Plan'!M154+'4. Input_Plan'!M156)/('4. Input_Plan'!M69+SUM('4. Input_Plan'!M76:M83))</f>
        <v>1.8577218269728206</v>
      </c>
      <c r="O215" s="104">
        <f ca="1">('4. Input_Plan'!N143+'4. Input_Plan'!N154+'4. Input_Plan'!N156)/('4. Input_Plan'!N69+SUM('4. Input_Plan'!N76:N83))</f>
        <v>1.6989544630883315</v>
      </c>
      <c r="P215" s="104">
        <f ca="1">('4. Input_Plan'!O143+'4. Input_Plan'!O154+'4. Input_Plan'!O156)/('4. Input_Plan'!O69+SUM('4. Input_Plan'!O76:O83))</f>
        <v>1.5580249288442511</v>
      </c>
      <c r="Q215" s="104">
        <f ca="1">('4. Input_Plan'!P143+'4. Input_Plan'!P154+'4. Input_Plan'!P156)/('4. Input_Plan'!P69+SUM('4. Input_Plan'!P76:P83))</f>
        <v>1.5696963084405418</v>
      </c>
    </row>
    <row r="216" spans="3:17" x14ac:dyDescent="0.25">
      <c r="C216" s="2" t="s">
        <v>240</v>
      </c>
      <c r="G216" s="104" t="e">
        <f>+('4. Input_Plan'!#REF!+'4. Input_Plan'!#REF!+'4. Input_Plan'!#REF!)/'4. Input_Plan'!#REF!</f>
        <v>#REF!</v>
      </c>
      <c r="H216" s="104">
        <f>+('4. Input_Plan'!G143+'4. Input_Plan'!G154+'4. Input_Plan'!G156)/'4. Input_Plan'!G132</f>
        <v>1.2224938875305631</v>
      </c>
      <c r="I216" s="104">
        <f>+('4. Input_Plan'!H143+'4. Input_Plan'!H154+'4. Input_Plan'!H156)/'4. Input_Plan'!H132</f>
        <v>0.54466230936819204</v>
      </c>
      <c r="J216" s="104">
        <f>+('4. Input_Plan'!I143+'4. Input_Plan'!I154+'4. Input_Plan'!I156)/'4. Input_Plan'!I132</f>
        <v>0.29481132075471705</v>
      </c>
      <c r="K216" s="104">
        <f>+('4. Input_Plan'!J143+'4. Input_Plan'!J154+'4. Input_Plan'!J156)/'4. Input_Plan'!J132</f>
        <v>0.19920318725099601</v>
      </c>
      <c r="L216" s="104">
        <f ca="1">+('4. Input_Plan'!K143+'4. Input_Plan'!K154+'4. Input_Plan'!K156)/'4. Input_Plan'!K132</f>
        <v>1.1650682982356293</v>
      </c>
      <c r="M216" s="104">
        <f ca="1">+('4. Input_Plan'!L143+'4. Input_Plan'!L154+'4. Input_Plan'!L156)/'4. Input_Plan'!L132</f>
        <v>1.046228073145629</v>
      </c>
      <c r="N216" s="104">
        <f ca="1">+('4. Input_Plan'!M143+'4. Input_Plan'!M154+'4. Input_Plan'!M156)/'4. Input_Plan'!M132</f>
        <v>0.97119826794811193</v>
      </c>
      <c r="O216" s="104">
        <f ca="1">+('4. Input_Plan'!N143+'4. Input_Plan'!N154+'4. Input_Plan'!N156)/'4. Input_Plan'!N132</f>
        <v>0.92707612765795044</v>
      </c>
      <c r="P216" s="104">
        <f ca="1">+('4. Input_Plan'!O143+'4. Input_Plan'!O154+'4. Input_Plan'!O156)/'4. Input_Plan'!O132</f>
        <v>0.90778265511619272</v>
      </c>
      <c r="Q216" s="104">
        <f ca="1">+('4. Input_Plan'!P143+'4. Input_Plan'!P154+'4. Input_Plan'!P156)/'4. Input_Plan'!P132</f>
        <v>0.92391534327603619</v>
      </c>
    </row>
    <row r="217" spans="3:17" x14ac:dyDescent="0.25">
      <c r="C217" s="2" t="s">
        <v>242</v>
      </c>
      <c r="G217" s="104" t="e">
        <f>('4. Input_Plan'!#REF!+'4. Input_Plan'!#REF!+'4. Input_Plan'!#REF!+'4. Input_Plan'!#REF!+'4. Input_Plan'!#REF!)/('4. Input_Plan'!#REF!+SUM('4. Input_Plan'!#REF!))</f>
        <v>#REF!</v>
      </c>
      <c r="H217" s="104">
        <f>('4. Input_Plan'!G138+'4. Input_Plan'!G143+'4. Input_Plan'!G148+'4. Input_Plan'!G154+'4. Input_Plan'!G156)/('4. Input_Plan'!G69+SUM('4. Input_Plan'!G76:G83))</f>
        <v>1.1392529811767029</v>
      </c>
      <c r="I217" s="104">
        <f>('4. Input_Plan'!H138+'4. Input_Plan'!H143+'4. Input_Plan'!H148+'4. Input_Plan'!H154+'4. Input_Plan'!H156)/('4. Input_Plan'!H69+SUM('4. Input_Plan'!H76:H83))</f>
        <v>1.1392529811767029</v>
      </c>
      <c r="J217" s="104">
        <f>('4. Input_Plan'!I138+'4. Input_Plan'!I143+'4. Input_Plan'!I148+'4. Input_Plan'!I154+'4. Input_Plan'!I156)/('4. Input_Plan'!I69+SUM('4. Input_Plan'!I76:I83))</f>
        <v>0.98513552900029155</v>
      </c>
      <c r="K217" s="104">
        <f>('4. Input_Plan'!J138+'4. Input_Plan'!J143+'4. Input_Plan'!J148+'4. Input_Plan'!J154+'4. Input_Plan'!J156)/('4. Input_Plan'!J69+SUM('4. Input_Plan'!J76:J83))</f>
        <v>0.97161417878830647</v>
      </c>
      <c r="L217" s="104">
        <f ca="1">('4. Input_Plan'!K138+'4. Input_Plan'!K143+'4. Input_Plan'!K148+'4. Input_Plan'!K154+'4. Input_Plan'!K156)/('4. Input_Plan'!K69+SUM('4. Input_Plan'!K76:K83))</f>
        <v>2.7632762405296223</v>
      </c>
      <c r="M217" s="104">
        <f ca="1">('4. Input_Plan'!L138+'4. Input_Plan'!L143+'4. Input_Plan'!L148+'4. Input_Plan'!L154+'4. Input_Plan'!L156)/('4. Input_Plan'!L69+SUM('4. Input_Plan'!L76:L83))</f>
        <v>2.5343323536429012</v>
      </c>
      <c r="N217" s="104">
        <f ca="1">('4. Input_Plan'!M138+'4. Input_Plan'!M143+'4. Input_Plan'!M148+'4. Input_Plan'!M154+'4. Input_Plan'!M156)/('4. Input_Plan'!M69+SUM('4. Input_Plan'!M76:M83))</f>
        <v>2.3332803280937644</v>
      </c>
      <c r="O217" s="104">
        <f ca="1">('4. Input_Plan'!N138+'4. Input_Plan'!N143+'4. Input_Plan'!N148+'4. Input_Plan'!N154+'4. Input_Plan'!N156)/('4. Input_Plan'!N69+SUM('4. Input_Plan'!N76:N83))</f>
        <v>2.1556158628299564</v>
      </c>
      <c r="P217" s="104">
        <f ca="1">('4. Input_Plan'!O138+'4. Input_Plan'!O143+'4. Input_Plan'!O148+'4. Input_Plan'!O154+'4. Input_Plan'!O156)/('4. Input_Plan'!O69+SUM('4. Input_Plan'!O76:O83))</f>
        <v>1.9977449762681692</v>
      </c>
      <c r="Q217" s="104">
        <f ca="1">('4. Input_Plan'!P138+'4. Input_Plan'!P143+'4. Input_Plan'!P148+'4. Input_Plan'!P154+'4. Input_Plan'!P156)/('4. Input_Plan'!P69+SUM('4. Input_Plan'!P76:P83))</f>
        <v>2.0094163558644595</v>
      </c>
    </row>
    <row r="219" spans="3:17" x14ac:dyDescent="0.25">
      <c r="C219" s="102" t="s">
        <v>237</v>
      </c>
    </row>
    <row r="220" spans="3:17" x14ac:dyDescent="0.25">
      <c r="C220" s="2" t="s">
        <v>243</v>
      </c>
      <c r="D220" s="6" t="s">
        <v>304</v>
      </c>
      <c r="G220" s="104" t="e">
        <f>('4. Input_Plan'!#REF!+SUM('4. Input_Plan'!#REF!))/-'4. Input_Plan'!#REF!</f>
        <v>#REF!</v>
      </c>
      <c r="H220" s="104">
        <f>('4. Input_Plan'!G69+SUM('4. Input_Plan'!G76:G83))/-'4. Input_Plan'!G88</f>
        <v>72.999999999999972</v>
      </c>
      <c r="I220" s="104">
        <f>('4. Input_Plan'!H69+SUM('4. Input_Plan'!H76:H83))/-'4. Input_Plan'!H88</f>
        <v>72.999999999999972</v>
      </c>
      <c r="J220" s="104">
        <f>('4. Input_Plan'!I69+SUM('4. Input_Plan'!I76:I83))/-'4. Input_Plan'!I88</f>
        <v>73</v>
      </c>
      <c r="K220" s="104">
        <f>('4. Input_Plan'!J69+SUM('4. Input_Plan'!J76:J83))/-'4. Input_Plan'!J88</f>
        <v>73.000000000000014</v>
      </c>
      <c r="L220" s="104">
        <f>('4. Input_Plan'!K69+SUM('4. Input_Plan'!K76:K83))/-'4. Input_Plan'!K88</f>
        <v>52.160133333333327</v>
      </c>
      <c r="M220" s="104">
        <f ca="1">('4. Input_Plan'!L69+SUM('4. Input_Plan'!L76:L83))/-'4. Input_Plan'!L88</f>
        <v>9.8156040758336278</v>
      </c>
      <c r="N220" s="104">
        <f ca="1">('4. Input_Plan'!M69+SUM('4. Input_Plan'!M76:M83))/-'4. Input_Plan'!M88</f>
        <v>10.765874475722898</v>
      </c>
      <c r="O220" s="104">
        <f ca="1">('4. Input_Plan'!N69+SUM('4. Input_Plan'!N76:N83))/-'4. Input_Plan'!N88</f>
        <v>11.771945884673286</v>
      </c>
      <c r="P220" s="104">
        <f ca="1">('4. Input_Plan'!O69+SUM('4. Input_Plan'!O76:O83))/-'4. Input_Plan'!O88</f>
        <v>12.836765079770633</v>
      </c>
      <c r="Q220" s="104">
        <f ca="1">('4. Input_Plan'!P69+SUM('4. Input_Plan'!P76:P83))/-'4. Input_Plan'!P88</f>
        <v>13.029316555967185</v>
      </c>
    </row>
    <row r="221" spans="3:17" x14ac:dyDescent="0.25">
      <c r="C221" s="2" t="s">
        <v>244</v>
      </c>
      <c r="D221" s="6" t="s">
        <v>304</v>
      </c>
      <c r="G221" s="104" t="e">
        <f>('4. Input_Plan'!#REF!+SUM('4. Input_Plan'!#REF!)-'4. Input_Plan'!#REF!)/-'4. Input_Plan'!#REF!</f>
        <v>#REF!</v>
      </c>
      <c r="H221" s="104">
        <f>('4. Input_Plan'!G69+SUM('4. Input_Plan'!G76:G83)-'4. Input_Plan'!G101)/-'4. Input_Plan'!G88</f>
        <v>72.999999999999972</v>
      </c>
      <c r="I221" s="104">
        <f>('4. Input_Plan'!H69+SUM('4. Input_Plan'!H76:H83)-'4. Input_Plan'!H101)/-'4. Input_Plan'!H88</f>
        <v>51.41726618705033</v>
      </c>
      <c r="J221" s="104">
        <f>('4. Input_Plan'!I69+SUM('4. Input_Plan'!I76:I83)-'4. Input_Plan'!I101)/-'4. Input_Plan'!I88</f>
        <v>57.042553191489361</v>
      </c>
      <c r="K221" s="104">
        <f>('4. Input_Plan'!J69+SUM('4. Input_Plan'!J76:J83)-'4. Input_Plan'!J101)/-'4. Input_Plan'!J88</f>
        <v>57.536082474226824</v>
      </c>
      <c r="L221" s="104">
        <f>('4. Input_Plan'!K69+SUM('4. Input_Plan'!K76:K83)-'4. Input_Plan'!K101)/-'4. Input_Plan'!K88</f>
        <v>25.00013333333332</v>
      </c>
      <c r="M221" s="104">
        <f ca="1">('4. Input_Plan'!L69+SUM('4. Input_Plan'!L76:L83)-'4. Input_Plan'!L101)/-'4. Input_Plan'!L88</f>
        <v>4.9396010958993344</v>
      </c>
      <c r="N221" s="104">
        <f ca="1">('4. Input_Plan'!M69+SUM('4. Input_Plan'!M76:M83)-'4. Input_Plan'!M101)/-'4. Input_Plan'!M88</f>
        <v>5.6460713467918886</v>
      </c>
      <c r="O221" s="104">
        <f ca="1">('4. Input_Plan'!N69+SUM('4. Input_Plan'!N76:N83)-'4. Input_Plan'!N101)/-'4. Input_Plan'!N88</f>
        <v>6.3961525992957267</v>
      </c>
      <c r="P221" s="104">
        <f ca="1">('4. Input_Plan'!O69+SUM('4. Input_Plan'!O76:O83)-'4. Input_Plan'!O101)/-'4. Input_Plan'!O88</f>
        <v>7.1921821301241931</v>
      </c>
      <c r="Q221" s="104">
        <f ca="1">('4. Input_Plan'!P69+SUM('4. Input_Plan'!P76:P83)-'4. Input_Plan'!P101)/-'4. Input_Plan'!P88</f>
        <v>7.3000648620760522</v>
      </c>
    </row>
    <row r="222" spans="3:17" x14ac:dyDescent="0.25">
      <c r="C222" s="2" t="s">
        <v>303</v>
      </c>
      <c r="D222" s="6" t="s">
        <v>304</v>
      </c>
      <c r="G222" s="104" t="e">
        <f>+'4. Input_Plan'!#REF!/-'4. Input_Plan'!#REF!</f>
        <v>#REF!</v>
      </c>
      <c r="H222" s="104">
        <f>+'3. Input_Historie'!G138/-'4. Input_Plan'!G88</f>
        <v>9.0503597122301844</v>
      </c>
      <c r="I222" s="104">
        <f>+'3. Input_Historie'!H138/-'4. Input_Plan'!H88</f>
        <v>56.892086330935228</v>
      </c>
      <c r="J222" s="104">
        <f>+'3. Input_Historie'!I138/-'4. Input_Plan'!I88</f>
        <v>46.202127659574465</v>
      </c>
      <c r="K222" s="104">
        <f>+'3. Input_Historie'!J138/-'4. Input_Plan'!J88</f>
        <v>58.082474226804152</v>
      </c>
      <c r="L222" s="104">
        <f>+'3. Input_Historie'!K138/-'4. Input_Plan'!K88</f>
        <v>0</v>
      </c>
      <c r="M222" s="104">
        <f ca="1">+'3. Input_Historie'!L138/-'4. Input_Plan'!L88</f>
        <v>0</v>
      </c>
      <c r="N222" s="104">
        <f ca="1">+'3. Input_Historie'!M138/-'4. Input_Plan'!M88</f>
        <v>0</v>
      </c>
      <c r="O222" s="104">
        <f ca="1">+'3. Input_Historie'!N138/-'4. Input_Plan'!N88</f>
        <v>0</v>
      </c>
      <c r="P222" s="104">
        <f ca="1">+'3. Input_Historie'!O138/-'4. Input_Plan'!O88</f>
        <v>0</v>
      </c>
      <c r="Q222" s="104">
        <f ca="1">+'3. Input_Historie'!P138/-'4. Input_Plan'!P88</f>
        <v>0</v>
      </c>
    </row>
    <row r="224" spans="3:17" x14ac:dyDescent="0.25">
      <c r="C224" s="102" t="s">
        <v>294</v>
      </c>
    </row>
    <row r="225" spans="3:21" x14ac:dyDescent="0.25">
      <c r="C225" s="2" t="s">
        <v>295</v>
      </c>
      <c r="D225" s="96" t="s">
        <v>275</v>
      </c>
      <c r="G225" s="104" t="e">
        <f>+'4. Input_Plan'!#REF!</f>
        <v>#REF!</v>
      </c>
      <c r="H225" s="104">
        <f>+'4. Input_Plan'!G101</f>
        <v>0</v>
      </c>
      <c r="I225" s="104">
        <f>+'4. Input_Plan'!H101</f>
        <v>50</v>
      </c>
      <c r="J225" s="104">
        <f>+'4. Input_Plan'!I101</f>
        <v>50</v>
      </c>
      <c r="K225" s="104">
        <f>+'4. Input_Plan'!J101</f>
        <v>50</v>
      </c>
      <c r="L225" s="104">
        <f>+'4. Input_Plan'!K101</f>
        <v>135.80000000000004</v>
      </c>
      <c r="M225" s="104">
        <f>+'4. Input_Plan'!L101</f>
        <v>142.59000000000003</v>
      </c>
      <c r="N225" s="104">
        <f>+'4. Input_Plan'!M101</f>
        <v>149.71950000000004</v>
      </c>
      <c r="O225" s="104">
        <f>+'4. Input_Plan'!N101</f>
        <v>157.20547500000006</v>
      </c>
      <c r="P225" s="104">
        <f>+'4. Input_Plan'!O101</f>
        <v>165.06574875000007</v>
      </c>
      <c r="Q225" s="104">
        <f ca="1">+'4. Input_Plan'!P101</f>
        <v>167.54173498125004</v>
      </c>
    </row>
    <row r="226" spans="3:21" x14ac:dyDescent="0.25">
      <c r="C226" s="2" t="s">
        <v>296</v>
      </c>
      <c r="D226" s="96" t="s">
        <v>41</v>
      </c>
      <c r="G226" s="157" t="e">
        <f>+G225/'4. Input_Plan'!#REF!</f>
        <v>#REF!</v>
      </c>
      <c r="H226" s="157">
        <f>+H225/'4. Input_Plan'!G58</f>
        <v>0</v>
      </c>
      <c r="I226" s="157">
        <f>+I225/'4. Input_Plan'!H58</f>
        <v>0.1079136690647482</v>
      </c>
      <c r="J226" s="157">
        <f>+J225/'4. Input_Plan'!I58</f>
        <v>7.9787234042553182E-2</v>
      </c>
      <c r="K226" s="157">
        <f>+K225/'4. Input_Plan'!J58</f>
        <v>7.7319587628865968E-2</v>
      </c>
      <c r="L226" s="157">
        <f>+L225/'4. Input_Plan'!K58</f>
        <v>0.20000000000000004</v>
      </c>
      <c r="M226" s="157">
        <f>+M225/'4. Input_Plan'!L58</f>
        <v>0.2</v>
      </c>
      <c r="N226" s="157">
        <f>+N225/'4. Input_Plan'!M58</f>
        <v>0.2</v>
      </c>
      <c r="O226" s="157">
        <f>+O225/'4. Input_Plan'!N58</f>
        <v>0.2</v>
      </c>
      <c r="P226" s="157">
        <f>+P225/'4. Input_Plan'!O58</f>
        <v>0.2</v>
      </c>
      <c r="Q226" s="157">
        <f ca="1">+Q225/'4. Input_Plan'!P58</f>
        <v>0.2</v>
      </c>
    </row>
    <row r="227" spans="3:21" x14ac:dyDescent="0.25">
      <c r="C227" s="2" t="s">
        <v>147</v>
      </c>
      <c r="D227" s="96" t="s">
        <v>275</v>
      </c>
      <c r="G227" s="104" t="e">
        <f>-'4. Input_Plan'!#REF!</f>
        <v>#REF!</v>
      </c>
      <c r="H227" s="104">
        <f>-'4. Input_Plan'!G72</f>
        <v>30</v>
      </c>
      <c r="I227" s="104">
        <f>-'4. Input_Plan'!H72</f>
        <v>30</v>
      </c>
      <c r="J227" s="104">
        <f>-'4. Input_Plan'!I72</f>
        <v>30</v>
      </c>
      <c r="K227" s="104">
        <f>-'4. Input_Plan'!J72</f>
        <v>30</v>
      </c>
      <c r="L227" s="104">
        <f ca="1">-'4. Input_Plan'!K72</f>
        <v>73.685714285714283</v>
      </c>
      <c r="M227" s="104">
        <f ca="1">-'4. Input_Plan'!L72</f>
        <v>94.055714285714288</v>
      </c>
      <c r="N227" s="104">
        <f ca="1">-'4. Input_Plan'!M72</f>
        <v>115.4442142857143</v>
      </c>
      <c r="O227" s="104">
        <f ca="1">-'4. Input_Plan'!N72</f>
        <v>137.9021392857143</v>
      </c>
      <c r="P227" s="104">
        <f ca="1">-'4. Input_Plan'!O72</f>
        <v>161.48296053571431</v>
      </c>
      <c r="Q227" s="104">
        <f ca="1">-'4. Input_Plan'!P72</f>
        <v>161.48296053571431</v>
      </c>
    </row>
    <row r="228" spans="3:21" x14ac:dyDescent="0.25">
      <c r="C228" s="2" t="s">
        <v>297</v>
      </c>
      <c r="D228" s="96" t="s">
        <v>275</v>
      </c>
      <c r="G228" s="104" t="e">
        <f>+G225-G227</f>
        <v>#REF!</v>
      </c>
      <c r="H228" s="104">
        <f t="shared" ref="H228:Q228" si="1">+H225-H227</f>
        <v>-30</v>
      </c>
      <c r="I228" s="104">
        <f t="shared" si="1"/>
        <v>20</v>
      </c>
      <c r="J228" s="104">
        <f t="shared" si="1"/>
        <v>20</v>
      </c>
      <c r="K228" s="104">
        <f t="shared" si="1"/>
        <v>20</v>
      </c>
      <c r="L228" s="104">
        <f t="shared" ca="1" si="1"/>
        <v>62.114285714285757</v>
      </c>
      <c r="M228" s="104">
        <f t="shared" ca="1" si="1"/>
        <v>48.534285714285744</v>
      </c>
      <c r="N228" s="104">
        <f t="shared" ca="1" si="1"/>
        <v>34.275285714285744</v>
      </c>
      <c r="O228" s="104">
        <f t="shared" ca="1" si="1"/>
        <v>19.303335714285765</v>
      </c>
      <c r="P228" s="104">
        <f t="shared" ca="1" si="1"/>
        <v>3.5827882142857561</v>
      </c>
      <c r="Q228" s="104">
        <f t="shared" ca="1" si="1"/>
        <v>6.0587744455357324</v>
      </c>
    </row>
    <row r="229" spans="3:21" ht="5.0999999999999996" customHeight="1" x14ac:dyDescent="0.25"/>
    <row r="230" spans="3:21" x14ac:dyDescent="0.25">
      <c r="C230" s="2" t="s">
        <v>298</v>
      </c>
      <c r="D230" s="96" t="s">
        <v>275</v>
      </c>
      <c r="G230" s="87"/>
      <c r="H230" s="87"/>
      <c r="I230" s="87"/>
      <c r="J230" s="87" t="s">
        <v>28</v>
      </c>
      <c r="K230" s="104">
        <f>+'(AUSBLENDEN) Bewertung'!G12+'(AUSBLENDEN) Bewertung'!G16</f>
        <v>149.09723333333341</v>
      </c>
      <c r="L230" s="104">
        <f ca="1">+'(AUSBLENDEN) Bewertung'!H12+'(AUSBLENDEN) Bewertung'!H16</f>
        <v>135.98617949999999</v>
      </c>
      <c r="M230" s="104">
        <f ca="1">+'(AUSBLENDEN) Bewertung'!I12+'(AUSBLENDEN) Bewertung'!I16</f>
        <v>147.01384565071436</v>
      </c>
      <c r="N230" s="104">
        <f ca="1">+'(AUSBLENDEN) Bewertung'!J12+'(AUSBLENDEN) Bewertung'!J16</f>
        <v>151.61737717701436</v>
      </c>
      <c r="O230" s="104">
        <f ca="1">+'(AUSBLENDEN) Bewertung'!K12+'(AUSBLENDEN) Bewertung'!K16</f>
        <v>156.62539754445538</v>
      </c>
      <c r="P230" s="104">
        <f ca="1">+'(AUSBLENDEN) Bewertung'!L12+'(AUSBLENDEN) Bewertung'!L16</f>
        <v>162.06142765486643</v>
      </c>
      <c r="Q230" s="104">
        <f ca="1">+G183</f>
        <v>166.11139787400836</v>
      </c>
    </row>
    <row r="231" spans="3:21" x14ac:dyDescent="0.25">
      <c r="C231" s="2" t="s">
        <v>299</v>
      </c>
      <c r="D231" s="96" t="s">
        <v>41</v>
      </c>
      <c r="G231" s="87"/>
      <c r="H231" s="87"/>
      <c r="I231" s="87"/>
      <c r="J231" s="87"/>
      <c r="K231" s="87"/>
      <c r="L231" s="157">
        <f ca="1">+L230/K230-1</f>
        <v>-8.7936265081601572E-2</v>
      </c>
      <c r="M231" s="157">
        <f ca="1">+M230/L230-1</f>
        <v>8.109402140174371E-2</v>
      </c>
      <c r="N231" s="157">
        <f ca="1">+N230/M230-1</f>
        <v>3.1313591627535553E-2</v>
      </c>
      <c r="O231" s="157">
        <f ca="1">+O230/N230-1</f>
        <v>3.3030648997404377E-2</v>
      </c>
      <c r="P231" s="157">
        <f ca="1">+P230/O230-1</f>
        <v>3.4707207104570204E-2</v>
      </c>
      <c r="Q231" s="157" t="e">
        <f>+G187</f>
        <v>#REF!</v>
      </c>
    </row>
    <row r="232" spans="3:21" x14ac:dyDescent="0.25">
      <c r="C232" s="2" t="s">
        <v>300</v>
      </c>
      <c r="D232" s="96" t="s">
        <v>275</v>
      </c>
      <c r="G232" s="87"/>
      <c r="H232" s="87"/>
      <c r="I232" s="87"/>
      <c r="J232" s="87"/>
      <c r="K232" s="104">
        <f>+'(AUSBLENDEN) Bewertung'!G36</f>
        <v>123.1894750000001</v>
      </c>
      <c r="L232" s="104">
        <f ca="1">+'(AUSBLENDEN) Bewertung'!H36</f>
        <v>64.384810452380833</v>
      </c>
      <c r="M232" s="104">
        <f ca="1">+'(AUSBLENDEN) Bewertung'!I36</f>
        <v>81.782027525714312</v>
      </c>
      <c r="N232" s="104">
        <f ca="1">+'(AUSBLENDEN) Bewertung'!J36</f>
        <v>100.2201840520143</v>
      </c>
      <c r="O232" s="104">
        <f ca="1">+'(AUSBLENDEN) Bewertung'!K36</f>
        <v>119.75456066945534</v>
      </c>
      <c r="P232" s="104">
        <f ca="1">+'(AUSBLENDEN) Bewertung'!L36</f>
        <v>140.44326484236643</v>
      </c>
      <c r="Q232" s="104">
        <f ca="1">+'(AUSBLENDEN) Bewertung'!M36</f>
        <v>148.74760822869587</v>
      </c>
    </row>
    <row r="233" spans="3:21" x14ac:dyDescent="0.25">
      <c r="C233" s="2" t="s">
        <v>301</v>
      </c>
      <c r="D233" s="96" t="s">
        <v>275</v>
      </c>
      <c r="G233" s="87"/>
      <c r="H233" s="87"/>
      <c r="I233" s="87"/>
      <c r="J233" s="87"/>
      <c r="K233" s="104">
        <f>-SUM('(AUSBLENDEN) Bewertung'!G32:G34)</f>
        <v>24.999999999999972</v>
      </c>
      <c r="L233" s="104">
        <f ca="1">-SUM('(AUSBLENDEN) Bewertung'!H32:H34)</f>
        <v>70.197619047619156</v>
      </c>
      <c r="M233" s="104">
        <f ca="1">-SUM('(AUSBLENDEN) Bewertung'!I32:I34)</f>
        <v>57.021785714285755</v>
      </c>
      <c r="N233" s="104">
        <f ca="1">-SUM('(AUSBLENDEN) Bewertung'!J32:J34)</f>
        <v>43.187160714285753</v>
      </c>
      <c r="O233" s="104">
        <f ca="1">-SUM('(AUSBLENDEN) Bewertung'!K32:K34)</f>
        <v>28.660804464285775</v>
      </c>
      <c r="P233" s="104">
        <f ca="1">-SUM('(AUSBLENDEN) Bewertung'!L32:L34)</f>
        <v>13.408130401785684</v>
      </c>
      <c r="Q233" s="104">
        <f ca="1">-SUM('(AUSBLENDEN) Bewertung'!M32:M34)</f>
        <v>9.1537572345982312</v>
      </c>
    </row>
    <row r="234" spans="3:21" x14ac:dyDescent="0.25">
      <c r="C234" s="2" t="s">
        <v>301</v>
      </c>
      <c r="D234" s="96" t="s">
        <v>41</v>
      </c>
      <c r="G234" s="87"/>
      <c r="H234" s="87"/>
      <c r="I234" s="87"/>
      <c r="J234" s="87"/>
      <c r="K234" s="157">
        <f>+K233/K230</f>
        <v>0.16767581423934286</v>
      </c>
      <c r="L234" s="157">
        <f t="shared" ref="L234:Q234" ca="1" si="2">+L233/L230</f>
        <v>0.51621142167332645</v>
      </c>
      <c r="M234" s="157">
        <f t="shared" ca="1" si="2"/>
        <v>0.38786677174449302</v>
      </c>
      <c r="N234" s="157">
        <f t="shared" ca="1" si="2"/>
        <v>0.284843080116499</v>
      </c>
      <c r="O234" s="157">
        <f t="shared" ca="1" si="2"/>
        <v>0.18298950817443835</v>
      </c>
      <c r="P234" s="157">
        <f t="shared" ca="1" si="2"/>
        <v>8.2734865389068782E-2</v>
      </c>
      <c r="Q234" s="157">
        <f t="shared" ca="1" si="2"/>
        <v>5.5106135712259453E-2</v>
      </c>
    </row>
    <row r="235" spans="3:21" ht="5.0999999999999996" customHeight="1" x14ac:dyDescent="0.25"/>
    <row r="236" spans="3:21" x14ac:dyDescent="0.25">
      <c r="C236" s="8" t="s">
        <v>302</v>
      </c>
      <c r="D236" s="98" t="s">
        <v>41</v>
      </c>
      <c r="E236" s="8"/>
      <c r="F236" s="8"/>
      <c r="G236" s="88"/>
      <c r="H236" s="88"/>
      <c r="I236" s="88"/>
      <c r="J236" s="88"/>
      <c r="K236" s="88"/>
      <c r="L236" s="158">
        <f ca="1">+L231/L234*0+11%</f>
        <v>0.11</v>
      </c>
      <c r="M236" s="158">
        <f ca="1">+M231/M234*0+14%</f>
        <v>0.14000000000000001</v>
      </c>
      <c r="N236" s="158">
        <f ca="1">+N231/N234</f>
        <v>0.10993277988262343</v>
      </c>
      <c r="O236" s="158">
        <f ca="1">+O231/O234</f>
        <v>0.1805056985339141</v>
      </c>
      <c r="P236" s="158">
        <f ca="1">+P231/P234*0+20%</f>
        <v>0.2</v>
      </c>
      <c r="Q236" s="158" t="e">
        <f ca="1">+Q231/Q234*0+19%</f>
        <v>#REF!</v>
      </c>
      <c r="S236" s="325" t="s">
        <v>286</v>
      </c>
      <c r="T236" s="326"/>
      <c r="U236" s="327"/>
    </row>
    <row r="237" spans="3:21" x14ac:dyDescent="0.25">
      <c r="F237" s="59"/>
      <c r="G237" s="59"/>
      <c r="H237" s="59"/>
      <c r="I237" s="59"/>
      <c r="J237" s="59"/>
      <c r="K237" s="59"/>
      <c r="L237" s="59"/>
      <c r="M237" s="59"/>
      <c r="N237" s="59"/>
      <c r="O237" s="59"/>
      <c r="P237" s="59"/>
      <c r="Q237" s="59"/>
    </row>
    <row r="238" spans="3:21" x14ac:dyDescent="0.25">
      <c r="C238" s="102" t="s">
        <v>245</v>
      </c>
    </row>
    <row r="239" spans="3:21" x14ac:dyDescent="0.25">
      <c r="C239" s="2" t="s">
        <v>246</v>
      </c>
      <c r="D239" s="96" t="s">
        <v>41</v>
      </c>
      <c r="G239" s="87"/>
      <c r="H239" s="26" t="e">
        <f>+'4. Input_Plan'!G84/(('4. Input_Plan'!G121+'4. Input_Plan'!#REF!)/2)</f>
        <v>#REF!</v>
      </c>
      <c r="I239" s="26">
        <f>+'4. Input_Plan'!H84/(('4. Input_Plan'!H121+'4. Input_Plan'!G121)/2)</f>
        <v>0.4275688966294437</v>
      </c>
      <c r="J239" s="26">
        <f>+'4. Input_Plan'!I84/(('4. Input_Plan'!I121+'4. Input_Plan'!H121)/2)</f>
        <v>0.42247732426303869</v>
      </c>
      <c r="K239" s="26">
        <f>+'4. Input_Plan'!J84/(('4. Input_Plan'!J121+'4. Input_Plan'!I121)/2)</f>
        <v>0.31798538944335852</v>
      </c>
      <c r="L239" s="26">
        <f ca="1">+'4. Input_Plan'!K84/(('4. Input_Plan'!K121+'4. Input_Plan'!J121)/2)</f>
        <v>0.19152014368589909</v>
      </c>
      <c r="M239" s="26">
        <f ca="1">+'4. Input_Plan'!L84/(('4. Input_Plan'!L121+'4. Input_Plan'!K121)/2)</f>
        <v>0.15382487352550414</v>
      </c>
      <c r="N239" s="26">
        <f ca="1">+'4. Input_Plan'!M84/(('4. Input_Plan'!M121+'4. Input_Plan'!L121)/2)</f>
        <v>0.15201229832756896</v>
      </c>
      <c r="O239" s="26">
        <f ca="1">+'4. Input_Plan'!N84/(('4. Input_Plan'!N121+'4. Input_Plan'!M121)/2)</f>
        <v>0.15230094947983114</v>
      </c>
      <c r="P239" s="26">
        <f ca="1">+'4. Input_Plan'!O84/(('4. Input_Plan'!O121+'4. Input_Plan'!N121)/2)</f>
        <v>0.15460348032919938</v>
      </c>
      <c r="Q239" s="26">
        <f ca="1">+'4. Input_Plan'!P84/(('4. Input_Plan'!P121+'4. Input_Plan'!O121)/2)</f>
        <v>0.15641096943894364</v>
      </c>
    </row>
    <row r="240" spans="3:21" ht="5.0999999999999996" customHeight="1" x14ac:dyDescent="0.25"/>
    <row r="241" spans="1:21" x14ac:dyDescent="0.25">
      <c r="C241" s="67" t="s">
        <v>249</v>
      </c>
      <c r="D241" s="96" t="s">
        <v>41</v>
      </c>
      <c r="G241" s="87"/>
      <c r="H241" s="26">
        <f>+H205</f>
        <v>0.23050359712230203</v>
      </c>
      <c r="I241" s="26">
        <f t="shared" ref="I241:Q241" si="3">+I205</f>
        <v>0.21971223021582723</v>
      </c>
      <c r="J241" s="26">
        <f t="shared" si="3"/>
        <v>0.24829787234042555</v>
      </c>
      <c r="K241" s="26">
        <f t="shared" si="3"/>
        <v>0.25175257731958772</v>
      </c>
      <c r="L241" s="26">
        <f t="shared" ca="1" si="3"/>
        <v>0.19291042636229744</v>
      </c>
      <c r="M241" s="26">
        <f t="shared" ca="1" si="3"/>
        <v>0.16518778506907925</v>
      </c>
      <c r="N241" s="26">
        <f t="shared" ca="1" si="3"/>
        <v>0.16347124174379429</v>
      </c>
      <c r="O241" s="26">
        <f t="shared" ca="1" si="3"/>
        <v>0.16205820218251438</v>
      </c>
      <c r="P241" s="26">
        <f t="shared" ca="1" si="3"/>
        <v>0.16092764777060037</v>
      </c>
      <c r="Q241" s="26">
        <f t="shared" ca="1" si="3"/>
        <v>0.16338398740303275</v>
      </c>
    </row>
    <row r="242" spans="1:21" x14ac:dyDescent="0.25">
      <c r="C242" s="67" t="s">
        <v>250</v>
      </c>
      <c r="D242" s="96" t="s">
        <v>233</v>
      </c>
      <c r="G242" s="87"/>
      <c r="H242" s="104" t="e">
        <f>+H208</f>
        <v>#REF!</v>
      </c>
      <c r="I242" s="104">
        <f t="shared" ref="I242:Q242" si="4">+I208</f>
        <v>1.4240344227025925</v>
      </c>
      <c r="J242" s="104">
        <f t="shared" si="4"/>
        <v>1.3321995464852614</v>
      </c>
      <c r="K242" s="104">
        <f t="shared" si="4"/>
        <v>0.99804506636485257</v>
      </c>
      <c r="L242" s="104">
        <f t="shared" ca="1" si="4"/>
        <v>0.69498549371922524</v>
      </c>
      <c r="M242" s="104">
        <f t="shared" ca="1" si="4"/>
        <v>0.56828227880550453</v>
      </c>
      <c r="N242" s="104">
        <f t="shared" ca="1" si="4"/>
        <v>0.57073640259879421</v>
      </c>
      <c r="O242" s="104">
        <f t="shared" ca="1" si="4"/>
        <v>0.58015132440703165</v>
      </c>
      <c r="P242" s="104">
        <f t="shared" ca="1" si="4"/>
        <v>0.59651953169375938</v>
      </c>
      <c r="Q242" s="104">
        <f t="shared" ca="1" si="4"/>
        <v>0.59683489302114279</v>
      </c>
    </row>
    <row r="243" spans="1:21" x14ac:dyDescent="0.25">
      <c r="C243" s="67" t="s">
        <v>251</v>
      </c>
      <c r="D243" s="96" t="s">
        <v>41</v>
      </c>
      <c r="G243" s="89"/>
      <c r="H243" s="107" t="e">
        <f>+(('4. Input_Plan'!G121+'4. Input_Plan'!#REF!)/2)/(('4. Input_Plan'!G132+'4. Input_Plan'!#REF!)/2)</f>
        <v>#REF!</v>
      </c>
      <c r="I243" s="107">
        <f>+(('4. Input_Plan'!H121+'4. Input_Plan'!G121)/2)/(('4. Input_Plan'!H132+'4. Input_Plan'!G132)/2)</f>
        <v>2.4518965084149715</v>
      </c>
      <c r="J243" s="107">
        <f>+(('4. Input_Plan'!I121+'4. Input_Plan'!H121)/2)/(('4. Input_Plan'!I132+'4. Input_Plan'!H132)/2)</f>
        <v>1.799540933435348</v>
      </c>
      <c r="K243" s="107">
        <f>+(('4. Input_Plan'!J121+'4. Input_Plan'!I121)/2)/(('4. Input_Plan'!J132+'4. Input_Plan'!I132)/2)</f>
        <v>1.5404977016959898</v>
      </c>
      <c r="L243" s="107">
        <f ca="1">+(('4. Input_Plan'!K121+'4. Input_Plan'!J121)/2)/(('4. Input_Plan'!K132+'4. Input_Plan'!J132)/2)</f>
        <v>1.9462127679757162</v>
      </c>
      <c r="M243" s="107">
        <f ca="1">+(('4. Input_Plan'!L121+'4. Input_Plan'!K121)/2)/(('4. Input_Plan'!L132+'4. Input_Plan'!K132)/2)</f>
        <v>2.3648339656416106</v>
      </c>
      <c r="N243" s="107">
        <f ca="1">+(('4. Input_Plan'!M121+'4. Input_Plan'!L121)/2)/(('4. Input_Plan'!M132+'4. Input_Plan'!L132)/2)</f>
        <v>2.2590418346323173</v>
      </c>
      <c r="O243" s="107">
        <f ca="1">+(('4. Input_Plan'!N121+'4. Input_Plan'!M121)/2)/(('4. Input_Plan'!N132+'4. Input_Plan'!M132)/2)</f>
        <v>2.1975339040697501</v>
      </c>
      <c r="P243" s="107">
        <f ca="1">+(('4. Input_Plan'!O121+'4. Input_Plan'!N121)/2)/(('4. Input_Plan'!O132+'4. Input_Plan'!N132)/2)</f>
        <v>2.1700604365465237</v>
      </c>
      <c r="Q243" s="107">
        <f ca="1">+(('4. Input_Plan'!P121+'4. Input_Plan'!O121)/2)/(('4. Input_Plan'!P132+'4. Input_Plan'!O132)/2)</f>
        <v>2.1733810626103427</v>
      </c>
    </row>
    <row r="244" spans="1:21" x14ac:dyDescent="0.25">
      <c r="C244" s="35" t="s">
        <v>252</v>
      </c>
      <c r="D244" s="109" t="s">
        <v>41</v>
      </c>
      <c r="E244" s="35"/>
      <c r="F244" s="35"/>
      <c r="G244" s="88"/>
      <c r="H244" s="108" t="e">
        <f>+'4. Input_Plan'!G93/(('4. Input_Plan'!G132+'4. Input_Plan'!#REF!)/2)</f>
        <v>#REF!</v>
      </c>
      <c r="I244" s="108">
        <f>+'4. Input_Plan'!H93/(('4. Input_Plan'!H132+'4. Input_Plan'!G132)/2)</f>
        <v>0.76714393368500378</v>
      </c>
      <c r="J244" s="108">
        <f>+'4. Input_Plan'!I93/(('4. Input_Plan'!I132+'4. Input_Plan'!H132)/2)</f>
        <v>0.5952563121652642</v>
      </c>
      <c r="K244" s="108">
        <f>+'4. Input_Plan'!J93/(('4. Input_Plan'!J132+'4. Input_Plan'!I132)/2)</f>
        <v>0.38706609605325754</v>
      </c>
      <c r="L244" s="108">
        <f ca="1">+'4. Input_Plan'!K93/(('4. Input_Plan'!K132+'4. Input_Plan'!J132)/2)</f>
        <v>0.26092864442231073</v>
      </c>
      <c r="M244" s="108">
        <f ca="1">+'4. Input_Plan'!L93/(('4. Input_Plan'!L132+'4. Input_Plan'!K132)/2)</f>
        <v>0.22199474685756096</v>
      </c>
      <c r="N244" s="108">
        <f ca="1">+'4. Input_Plan'!M93/(('4. Input_Plan'!M132+'4. Input_Plan'!L132)/2)</f>
        <v>0.21076631801757267</v>
      </c>
      <c r="O244" s="108">
        <f ca="1">+'4. Input_Plan'!N93/(('4. Input_Plan'!N132+'4. Input_Plan'!M132)/2)</f>
        <v>0.20660835928063429</v>
      </c>
      <c r="P244" s="108">
        <f ca="1">+'4. Input_Plan'!O93/(('4. Input_Plan'!O132+'4. Input_Plan'!N132)/2)</f>
        <v>0.20831817432982899</v>
      </c>
      <c r="Q244" s="108">
        <f ca="1">+'4. Input_Plan'!P93/(('4. Input_Plan'!P132+'4. Input_Plan'!O132)/2)</f>
        <v>0.21193348272853035</v>
      </c>
      <c r="S244" s="325" t="s">
        <v>286</v>
      </c>
      <c r="T244" s="326"/>
      <c r="U244" s="327"/>
    </row>
    <row r="246" spans="1:21" x14ac:dyDescent="0.25">
      <c r="H246" s="106"/>
      <c r="I246" s="106"/>
      <c r="J246" s="106"/>
      <c r="K246" s="106"/>
      <c r="L246" s="106"/>
      <c r="M246" s="106"/>
      <c r="N246" s="106"/>
      <c r="O246" s="106"/>
      <c r="P246" s="106"/>
      <c r="Q246" s="106"/>
    </row>
    <row r="247" spans="1:21" s="3" customFormat="1" ht="27" thickBot="1" x14ac:dyDescent="0.45">
      <c r="A247" s="2"/>
      <c r="B247" s="2"/>
      <c r="C247" s="3" t="s">
        <v>292</v>
      </c>
      <c r="D247" s="97"/>
    </row>
    <row r="249" spans="1:21" ht="22.5" x14ac:dyDescent="0.35">
      <c r="C249" s="5" t="s">
        <v>254</v>
      </c>
    </row>
    <row r="250" spans="1:21" ht="15" customHeight="1" x14ac:dyDescent="0.35">
      <c r="C250" s="5"/>
    </row>
    <row r="251" spans="1:21" x14ac:dyDescent="0.25">
      <c r="C251" s="67" t="s">
        <v>255</v>
      </c>
      <c r="G251" s="110">
        <f ca="1">+'(AUSBLENDEN) Bewertung'!M93</f>
        <v>148.74760822869587</v>
      </c>
    </row>
    <row r="252" spans="1:21" x14ac:dyDescent="0.25">
      <c r="C252" s="67" t="s">
        <v>256</v>
      </c>
      <c r="G252" s="115">
        <f ca="1">+'(AUSBLENDEN) Bewertung'!M94</f>
        <v>8.9628389792870564E-2</v>
      </c>
    </row>
    <row r="253" spans="1:21" x14ac:dyDescent="0.25">
      <c r="C253" s="67" t="s">
        <v>257</v>
      </c>
      <c r="G253" s="115" t="e">
        <f>+'(AUSBLENDEN) Bewertung'!#REF!</f>
        <v>#REF!</v>
      </c>
    </row>
    <row r="254" spans="1:21" x14ac:dyDescent="0.25">
      <c r="C254" s="67" t="s">
        <v>310</v>
      </c>
      <c r="G254" s="115">
        <f>+G18</f>
        <v>0</v>
      </c>
    </row>
    <row r="255" spans="1:21" x14ac:dyDescent="0.25">
      <c r="C255" s="120" t="s">
        <v>277</v>
      </c>
      <c r="D255" s="109"/>
      <c r="E255" s="120"/>
      <c r="F255" s="120"/>
      <c r="G255" s="121" t="e">
        <f ca="1">+G251*(1-G254)/(G252-G253+G254*(1+G253))</f>
        <v>#REF!</v>
      </c>
    </row>
    <row r="256" spans="1:21" x14ac:dyDescent="0.25">
      <c r="C256" s="67" t="s">
        <v>309</v>
      </c>
      <c r="G256" s="115" t="e">
        <f>+'(AUSBLENDEN) Bewertung'!#REF!</f>
        <v>#REF!</v>
      </c>
    </row>
    <row r="257" spans="3:10" x14ac:dyDescent="0.25">
      <c r="C257" s="120" t="s">
        <v>278</v>
      </c>
      <c r="D257" s="109"/>
      <c r="E257" s="120"/>
      <c r="F257" s="120"/>
      <c r="G257" s="121" t="e">
        <f ca="1">+G255*G256</f>
        <v>#REF!</v>
      </c>
    </row>
    <row r="258" spans="3:10" x14ac:dyDescent="0.25">
      <c r="C258" s="42" t="s">
        <v>279</v>
      </c>
      <c r="G258" s="110" t="e">
        <f>+SUM('(AUSBLENDEN) Bewertung'!#REF!)</f>
        <v>#REF!</v>
      </c>
    </row>
    <row r="259" spans="3:10" x14ac:dyDescent="0.25">
      <c r="C259" s="42" t="s">
        <v>281</v>
      </c>
      <c r="G259" s="110" t="e">
        <f>+'(AUSBLENDEN) Bewertung'!#REF!</f>
        <v>#REF!</v>
      </c>
    </row>
    <row r="260" spans="3:10" ht="15.75" thickBot="1" x14ac:dyDescent="0.3">
      <c r="C260" s="57" t="s">
        <v>280</v>
      </c>
      <c r="D260" s="122"/>
      <c r="E260" s="57"/>
      <c r="F260" s="57"/>
      <c r="G260" s="123" t="e">
        <f ca="1">+SUM(G257:G258)-G259</f>
        <v>#REF!</v>
      </c>
    </row>
    <row r="261" spans="3:10" ht="15.75" thickTop="1" x14ac:dyDescent="0.25">
      <c r="G261" s="115"/>
    </row>
    <row r="262" spans="3:10" x14ac:dyDescent="0.25">
      <c r="G262" s="115"/>
    </row>
    <row r="264" spans="3:10" x14ac:dyDescent="0.25">
      <c r="C264" s="147" t="s">
        <v>287</v>
      </c>
      <c r="D264" s="145"/>
      <c r="E264" s="146"/>
      <c r="F264" s="146"/>
      <c r="G264" s="146" t="s">
        <v>285</v>
      </c>
      <c r="H264" s="146" t="s">
        <v>284</v>
      </c>
      <c r="I264" s="146" t="s">
        <v>282</v>
      </c>
      <c r="J264" s="146" t="s">
        <v>283</v>
      </c>
    </row>
    <row r="265" spans="3:10" x14ac:dyDescent="0.25">
      <c r="C265" s="84"/>
      <c r="F265" s="148" cm="1">
        <f t="array" ref="F265:F269">+TRANSPOSE(F271:J271)</f>
        <v>4.9999999999999984E-3</v>
      </c>
      <c r="G265" s="61" t="e">
        <f>+I265</f>
        <v>#REF!</v>
      </c>
      <c r="H265" s="61" t="e">
        <f>+J265-I265</f>
        <v>#REF!</v>
      </c>
      <c r="I265" s="61" t="e" cm="1">
        <f t="array" ref="I265:J269">+TRANSPOSE(F272:J273)</f>
        <v>#REF!</v>
      </c>
      <c r="J265" s="61" t="e">
        <v>#REF!</v>
      </c>
    </row>
    <row r="266" spans="3:10" x14ac:dyDescent="0.25">
      <c r="C266" s="84"/>
      <c r="F266" s="148">
        <v>9.9999999999999985E-3</v>
      </c>
      <c r="G266" s="61" t="e">
        <f>+I266</f>
        <v>#REF!</v>
      </c>
      <c r="H266" s="61" t="e">
        <f>+J266-I266</f>
        <v>#REF!</v>
      </c>
      <c r="I266" s="61" t="e">
        <v>#REF!</v>
      </c>
      <c r="J266" s="61" t="e">
        <v>#REF!</v>
      </c>
    </row>
    <row r="267" spans="3:10" x14ac:dyDescent="0.25">
      <c r="F267" s="156">
        <v>1.4999999999999999E-2</v>
      </c>
      <c r="G267" s="61" t="e">
        <f>+I267</f>
        <v>#REF!</v>
      </c>
      <c r="H267" s="61" t="e">
        <f>+J267-I267</f>
        <v>#REF!</v>
      </c>
      <c r="I267" s="61" t="e">
        <v>#REF!</v>
      </c>
      <c r="J267" s="61" t="e">
        <v>#REF!</v>
      </c>
    </row>
    <row r="268" spans="3:10" x14ac:dyDescent="0.25">
      <c r="F268" s="148">
        <v>0.02</v>
      </c>
      <c r="G268" s="61" t="e">
        <f>+I268</f>
        <v>#REF!</v>
      </c>
      <c r="H268" s="61" t="e">
        <f>+J268-I268</f>
        <v>#REF!</v>
      </c>
      <c r="I268" s="61" t="e">
        <v>#REF!</v>
      </c>
      <c r="J268" s="61" t="e">
        <v>#REF!</v>
      </c>
    </row>
    <row r="269" spans="3:10" x14ac:dyDescent="0.25">
      <c r="F269" s="148">
        <v>2.5000000000000001E-2</v>
      </c>
      <c r="G269" s="61" t="e">
        <f>+I269</f>
        <v>#REF!</v>
      </c>
      <c r="H269" s="61" t="e">
        <f>+J269-I269</f>
        <v>#REF!</v>
      </c>
      <c r="I269" s="61" t="e">
        <v>#REF!</v>
      </c>
      <c r="J269" s="61" t="e">
        <v>#REF!</v>
      </c>
    </row>
    <row r="271" spans="3:10" x14ac:dyDescent="0.25">
      <c r="F271" s="84">
        <f>+L25</f>
        <v>4.9999999999999984E-3</v>
      </c>
      <c r="G271" s="84">
        <f>+M25</f>
        <v>9.9999999999999985E-3</v>
      </c>
      <c r="H271" s="156">
        <f>+N25</f>
        <v>1.4999999999999999E-2</v>
      </c>
      <c r="I271" s="84">
        <f>+O25</f>
        <v>0.02</v>
      </c>
      <c r="J271" s="84">
        <f>+P25</f>
        <v>2.5000000000000001E-2</v>
      </c>
    </row>
    <row r="272" spans="3:10" x14ac:dyDescent="0.25">
      <c r="C272" s="2" t="s">
        <v>282</v>
      </c>
      <c r="F272" s="61" t="e">
        <f>+MIN(L26:L30)</f>
        <v>#REF!</v>
      </c>
      <c r="G272" s="61" t="e">
        <f>+MIN(M26:M30)</f>
        <v>#REF!</v>
      </c>
      <c r="H272" s="61" t="e">
        <f>+MIN(N26:N30)</f>
        <v>#REF!</v>
      </c>
      <c r="I272" s="61" t="e">
        <f>+MIN(O26:O30)</f>
        <v>#REF!</v>
      </c>
      <c r="J272" s="61" t="e">
        <f>+MIN(P26:P30)</f>
        <v>#REF!</v>
      </c>
    </row>
    <row r="273" spans="3:10" x14ac:dyDescent="0.25">
      <c r="C273" s="2" t="s">
        <v>283</v>
      </c>
      <c r="F273" s="61" t="e">
        <f>+MAX(L26:L30)</f>
        <v>#REF!</v>
      </c>
      <c r="G273" s="61" t="e">
        <f>+MAX(M26:M30)</f>
        <v>#REF!</v>
      </c>
      <c r="H273" s="61" t="e">
        <f>+MAX(N26:N30)</f>
        <v>#REF!</v>
      </c>
      <c r="I273" s="61" t="e">
        <f>+MAX(O26:O30)</f>
        <v>#REF!</v>
      </c>
      <c r="J273" s="61" t="e">
        <f>+MAX(P26:P30)</f>
        <v>#REF!</v>
      </c>
    </row>
    <row r="274" spans="3:10" x14ac:dyDescent="0.25">
      <c r="C274" s="84"/>
    </row>
    <row r="275" spans="3:10" x14ac:dyDescent="0.25">
      <c r="C275" s="84"/>
    </row>
    <row r="276" spans="3:10" x14ac:dyDescent="0.25">
      <c r="C276" s="147" t="s">
        <v>287</v>
      </c>
      <c r="D276" s="145"/>
      <c r="E276" s="146"/>
      <c r="F276" s="146"/>
      <c r="G276" s="146" t="s">
        <v>285</v>
      </c>
      <c r="H276" s="146" t="s">
        <v>284</v>
      </c>
      <c r="I276" s="146" t="s">
        <v>282</v>
      </c>
      <c r="J276" s="146" t="s">
        <v>283</v>
      </c>
    </row>
    <row r="277" spans="3:10" x14ac:dyDescent="0.25">
      <c r="C277" s="84"/>
      <c r="F277" s="148" cm="1">
        <f t="array" ref="F277:F281">+TRANSPOSE(E25:I25)</f>
        <v>4.9999999999999984E-3</v>
      </c>
      <c r="G277" s="61" t="e">
        <f>+I277</f>
        <v>#REF!</v>
      </c>
      <c r="H277" s="61" t="e">
        <f>+J277-I277</f>
        <v>#REF!</v>
      </c>
      <c r="I277" s="61" t="e">
        <f>+MIN(E26:E30)</f>
        <v>#REF!</v>
      </c>
      <c r="J277" s="61" t="e">
        <f>+MAX(E26:E30)</f>
        <v>#REF!</v>
      </c>
    </row>
    <row r="278" spans="3:10" x14ac:dyDescent="0.25">
      <c r="C278" s="84"/>
      <c r="F278" s="148">
        <v>9.9999999999999985E-3</v>
      </c>
      <c r="G278" s="61" t="e">
        <f>+I278</f>
        <v>#REF!</v>
      </c>
      <c r="H278" s="61" t="e">
        <f>+J278-I278</f>
        <v>#REF!</v>
      </c>
      <c r="I278" s="61" t="e">
        <f>+MIN(F26:F30)</f>
        <v>#REF!</v>
      </c>
      <c r="J278" s="61" t="e">
        <f>+MAX(F26:F30)</f>
        <v>#REF!</v>
      </c>
    </row>
    <row r="279" spans="3:10" x14ac:dyDescent="0.25">
      <c r="F279" s="156">
        <v>1.4999999999999999E-2</v>
      </c>
      <c r="G279" s="61" t="e">
        <f>+I279</f>
        <v>#REF!</v>
      </c>
      <c r="H279" s="61" t="e">
        <f>+J279-I279</f>
        <v>#REF!</v>
      </c>
      <c r="I279" s="61" t="e">
        <f>+MIN(G26:G30)</f>
        <v>#REF!</v>
      </c>
      <c r="J279" s="61" t="e">
        <f>+MAX(G26:G30)</f>
        <v>#REF!</v>
      </c>
    </row>
    <row r="280" spans="3:10" x14ac:dyDescent="0.25">
      <c r="F280" s="148">
        <v>0.02</v>
      </c>
      <c r="G280" s="61" t="e">
        <f>+I280</f>
        <v>#REF!</v>
      </c>
      <c r="H280" s="61" t="e">
        <f>+J280-I280</f>
        <v>#REF!</v>
      </c>
      <c r="I280" s="61" t="e">
        <f>+MIN(H26:H30)</f>
        <v>#REF!</v>
      </c>
      <c r="J280" s="61" t="e">
        <f>+MAX(H26:H30)</f>
        <v>#REF!</v>
      </c>
    </row>
    <row r="281" spans="3:10" x14ac:dyDescent="0.25">
      <c r="F281" s="148">
        <v>2.5000000000000001E-2</v>
      </c>
      <c r="G281" s="61" t="e">
        <f>+I281</f>
        <v>#REF!</v>
      </c>
      <c r="H281" s="61" t="e">
        <f>+J281-I281</f>
        <v>#REF!</v>
      </c>
      <c r="I281" s="61" t="e">
        <f>+MIN(I26:I30)</f>
        <v>#REF!</v>
      </c>
      <c r="J281" s="61" t="e">
        <f>+MAX(I26:I30)</f>
        <v>#REF!</v>
      </c>
    </row>
  </sheetData>
  <mergeCells count="13">
    <mergeCell ref="S244:U244"/>
    <mergeCell ref="I101:M101"/>
    <mergeCell ref="I103:M103"/>
    <mergeCell ref="G173:L173"/>
    <mergeCell ref="G179:L179"/>
    <mergeCell ref="G192:L192"/>
    <mergeCell ref="S236:U236"/>
    <mergeCell ref="I99:M99"/>
    <mergeCell ref="D23:I24"/>
    <mergeCell ref="K23:P24"/>
    <mergeCell ref="I93:M93"/>
    <mergeCell ref="I95:M95"/>
    <mergeCell ref="I97:M97"/>
  </mergeCells>
  <conditionalFormatting sqref="I93:M93">
    <cfRule type="dataBar" priority="1">
      <dataBar>
        <cfvo type="num" val="0"/>
        <cfvo type="num" val="1"/>
        <color rgb="FF002060"/>
      </dataBar>
      <extLst>
        <ext xmlns:x14="http://schemas.microsoft.com/office/spreadsheetml/2009/9/main" uri="{B025F937-C7B1-47D3-B67F-A62EFF666E3E}">
          <x14:id>{C894FF6D-0D69-488C-812F-B730AF72F8D3}</x14:id>
        </ext>
      </extLst>
    </cfRule>
  </conditionalFormatting>
  <conditionalFormatting sqref="I95:M95">
    <cfRule type="dataBar" priority="2">
      <dataBar>
        <cfvo type="num" val="0"/>
        <cfvo type="num" val="1"/>
        <color rgb="FF002060"/>
      </dataBar>
      <extLst>
        <ext xmlns:x14="http://schemas.microsoft.com/office/spreadsheetml/2009/9/main" uri="{B025F937-C7B1-47D3-B67F-A62EFF666E3E}">
          <x14:id>{767C8F54-D998-4C4B-B063-AED81911C52D}</x14:id>
        </ext>
      </extLst>
    </cfRule>
  </conditionalFormatting>
  <conditionalFormatting sqref="I97:M97">
    <cfRule type="dataBar" priority="3">
      <dataBar>
        <cfvo type="num" val="0"/>
        <cfvo type="num" val="1"/>
        <color rgb="FF002060"/>
      </dataBar>
      <extLst>
        <ext xmlns:x14="http://schemas.microsoft.com/office/spreadsheetml/2009/9/main" uri="{B025F937-C7B1-47D3-B67F-A62EFF666E3E}">
          <x14:id>{B655B442-BB84-4BBA-98FB-0D9ED27FCEC3}</x14:id>
        </ext>
      </extLst>
    </cfRule>
  </conditionalFormatting>
  <conditionalFormatting sqref="I99:M99">
    <cfRule type="dataBar" priority="4">
      <dataBar>
        <cfvo type="num" val="0"/>
        <cfvo type="num" val="1"/>
        <color rgb="FF002060"/>
      </dataBar>
      <extLst>
        <ext xmlns:x14="http://schemas.microsoft.com/office/spreadsheetml/2009/9/main" uri="{B025F937-C7B1-47D3-B67F-A62EFF666E3E}">
          <x14:id>{EB021FDF-2021-4034-9042-458F7A900CAE}</x14:id>
        </ext>
      </extLst>
    </cfRule>
  </conditionalFormatting>
  <conditionalFormatting sqref="I101:M101">
    <cfRule type="dataBar" priority="5">
      <dataBar>
        <cfvo type="num" val="0"/>
        <cfvo type="num" val="1"/>
        <color rgb="FF002060"/>
      </dataBar>
      <extLst>
        <ext xmlns:x14="http://schemas.microsoft.com/office/spreadsheetml/2009/9/main" uri="{B025F937-C7B1-47D3-B67F-A62EFF666E3E}">
          <x14:id>{6D8E4294-6B1E-48A9-B667-2B120D2BF88D}</x14:id>
        </ext>
      </extLst>
    </cfRule>
  </conditionalFormatting>
  <conditionalFormatting sqref="I103:M103">
    <cfRule type="dataBar" priority="6">
      <dataBar>
        <cfvo type="num" val="0"/>
        <cfvo type="num" val="1"/>
        <color rgb="FF002060"/>
      </dataBar>
      <extLst>
        <ext xmlns:x14="http://schemas.microsoft.com/office/spreadsheetml/2009/9/main" uri="{B025F937-C7B1-47D3-B67F-A62EFF666E3E}">
          <x14:id>{FDB729E2-6373-411D-8433-FDAE9EE4CE45}</x14:id>
        </ext>
      </extLst>
    </cfRule>
  </conditionalFormatting>
  <pageMargins left="0.7" right="0.7" top="0.78740157499999996" bottom="0.78740157499999996"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C894FF6D-0D69-488C-812F-B730AF72F8D3}">
            <x14:dataBar minLength="0" maxLength="100" border="1" negativeBarBorderColorSameAsPositive="0">
              <x14:cfvo type="num">
                <xm:f>0</xm:f>
              </x14:cfvo>
              <x14:cfvo type="num">
                <xm:f>1</xm:f>
              </x14:cfvo>
              <x14:borderColor rgb="FF002060"/>
              <x14:negativeFillColor rgb="FFFF0000"/>
              <x14:negativeBorderColor rgb="FFFF0000"/>
              <x14:axisColor rgb="FF000000"/>
            </x14:dataBar>
          </x14:cfRule>
          <xm:sqref>I93:M93</xm:sqref>
        </x14:conditionalFormatting>
        <x14:conditionalFormatting xmlns:xm="http://schemas.microsoft.com/office/excel/2006/main">
          <x14:cfRule type="dataBar" id="{767C8F54-D998-4C4B-B063-AED81911C52D}">
            <x14:dataBar minLength="0" maxLength="100" border="1" negativeBarBorderColorSameAsPositive="0">
              <x14:cfvo type="num">
                <xm:f>0</xm:f>
              </x14:cfvo>
              <x14:cfvo type="num">
                <xm:f>1</xm:f>
              </x14:cfvo>
              <x14:borderColor rgb="FF002060"/>
              <x14:negativeFillColor rgb="FFFF0000"/>
              <x14:negativeBorderColor rgb="FFFF0000"/>
              <x14:axisColor rgb="FF000000"/>
            </x14:dataBar>
          </x14:cfRule>
          <xm:sqref>I95:M95</xm:sqref>
        </x14:conditionalFormatting>
        <x14:conditionalFormatting xmlns:xm="http://schemas.microsoft.com/office/excel/2006/main">
          <x14:cfRule type="dataBar" id="{B655B442-BB84-4BBA-98FB-0D9ED27FCEC3}">
            <x14:dataBar minLength="0" maxLength="100" border="1" negativeBarBorderColorSameAsPositive="0">
              <x14:cfvo type="num">
                <xm:f>0</xm:f>
              </x14:cfvo>
              <x14:cfvo type="num">
                <xm:f>1</xm:f>
              </x14:cfvo>
              <x14:borderColor rgb="FF002060"/>
              <x14:negativeFillColor rgb="FFFF0000"/>
              <x14:negativeBorderColor rgb="FFFF0000"/>
              <x14:axisColor rgb="FF000000"/>
            </x14:dataBar>
          </x14:cfRule>
          <xm:sqref>I97:M97</xm:sqref>
        </x14:conditionalFormatting>
        <x14:conditionalFormatting xmlns:xm="http://schemas.microsoft.com/office/excel/2006/main">
          <x14:cfRule type="dataBar" id="{EB021FDF-2021-4034-9042-458F7A900CAE}">
            <x14:dataBar minLength="0" maxLength="100" border="1" negativeBarBorderColorSameAsPositive="0">
              <x14:cfvo type="num">
                <xm:f>0</xm:f>
              </x14:cfvo>
              <x14:cfvo type="num">
                <xm:f>1</xm:f>
              </x14:cfvo>
              <x14:borderColor rgb="FF002060"/>
              <x14:negativeFillColor rgb="FFFF0000"/>
              <x14:negativeBorderColor rgb="FFFF0000"/>
              <x14:axisColor rgb="FF000000"/>
            </x14:dataBar>
          </x14:cfRule>
          <xm:sqref>I99:M99</xm:sqref>
        </x14:conditionalFormatting>
        <x14:conditionalFormatting xmlns:xm="http://schemas.microsoft.com/office/excel/2006/main">
          <x14:cfRule type="dataBar" id="{6D8E4294-6B1E-48A9-B667-2B120D2BF88D}">
            <x14:dataBar minLength="0" maxLength="100" border="1" negativeBarBorderColorSameAsPositive="0">
              <x14:cfvo type="num">
                <xm:f>0</xm:f>
              </x14:cfvo>
              <x14:cfvo type="num">
                <xm:f>1</xm:f>
              </x14:cfvo>
              <x14:borderColor rgb="FF002060"/>
              <x14:negativeFillColor rgb="FFFF0000"/>
              <x14:negativeBorderColor rgb="FFFF0000"/>
              <x14:axisColor rgb="FF000000"/>
            </x14:dataBar>
          </x14:cfRule>
          <xm:sqref>I101:M101</xm:sqref>
        </x14:conditionalFormatting>
        <x14:conditionalFormatting xmlns:xm="http://schemas.microsoft.com/office/excel/2006/main">
          <x14:cfRule type="dataBar" id="{FDB729E2-6373-411D-8433-FDAE9EE4CE45}">
            <x14:dataBar minLength="0" maxLength="100" border="1" negativeBarBorderColorSameAsPositive="0">
              <x14:cfvo type="num">
                <xm:f>0</xm:f>
              </x14:cfvo>
              <x14:cfvo type="num">
                <xm:f>1</xm:f>
              </x14:cfvo>
              <x14:borderColor rgb="FF002060"/>
              <x14:negativeFillColor rgb="FFFF0000"/>
              <x14:negativeBorderColor rgb="FFFF0000"/>
              <x14:axisColor rgb="FF000000"/>
            </x14:dataBar>
          </x14:cfRule>
          <xm:sqref>I103:M103</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4EAA8-AD53-4892-A8FD-4D832DCDD7FF}">
  <sheetPr>
    <tabColor theme="0"/>
  </sheetPr>
  <dimension ref="A1:Y200"/>
  <sheetViews>
    <sheetView showGridLines="0" zoomScale="80" zoomScaleNormal="80" workbookViewId="0"/>
  </sheetViews>
  <sheetFormatPr baseColWidth="10" defaultColWidth="0" defaultRowHeight="15" zeroHeight="1" x14ac:dyDescent="0.25"/>
  <cols>
    <col min="1" max="2" width="2.28515625" style="2" customWidth="1"/>
    <col min="3" max="3" width="75.7109375" style="2" customWidth="1"/>
    <col min="4" max="4" width="11.7109375" style="96" customWidth="1"/>
    <col min="5" max="5" width="11.42578125" style="2" customWidth="1"/>
    <col min="6" max="17" width="11.7109375" style="2" customWidth="1"/>
    <col min="18" max="19" width="11.42578125" style="2" customWidth="1"/>
    <col min="20" max="21" width="2.28515625" style="2" customWidth="1"/>
    <col min="22" max="25" width="11.42578125" style="2" customWidth="1"/>
    <col min="26" max="16384" width="11.42578125" style="2" hidden="1"/>
  </cols>
  <sheetData>
    <row r="1" spans="1:14" s="1" customFormat="1" ht="23.25" x14ac:dyDescent="0.35">
      <c r="A1" s="1" t="s">
        <v>220</v>
      </c>
      <c r="D1" s="95"/>
    </row>
    <row r="2" spans="1:14" x14ac:dyDescent="0.25"/>
    <row r="3" spans="1:14" x14ac:dyDescent="0.25"/>
    <row r="4" spans="1:14" s="3" customFormat="1" ht="27" thickBot="1" x14ac:dyDescent="0.45">
      <c r="A4" s="3" t="str">
        <f>+"Ergebnis der Unternehmenswertberechnung in Anlehnung an IDW S 1 i.d.F. 2026 für "&amp;'1. Annahmen'!E9</f>
        <v>Ergebnis der Unternehmenswertberechnung in Anlehnung an IDW S 1 i.d.F. 2026 für Beispiel AG</v>
      </c>
      <c r="D4" s="97"/>
    </row>
    <row r="5" spans="1:14" x14ac:dyDescent="0.25">
      <c r="D5" s="2"/>
    </row>
    <row r="6" spans="1:14" ht="23.25" x14ac:dyDescent="0.35">
      <c r="B6" s="222"/>
      <c r="C6" s="212" t="str">
        <f>+"Wert Ihres Anteils [in Euro] "</f>
        <v xml:space="preserve">Wert Ihres Anteils [in Euro] </v>
      </c>
      <c r="G6" s="101"/>
    </row>
    <row r="7" spans="1:14" ht="69" x14ac:dyDescent="1">
      <c r="B7" s="222"/>
      <c r="C7" s="211">
        <f ca="1">+'(AUSBLENDEN) Bewertung'!E106*1000</f>
        <v>1592257.3597678654</v>
      </c>
      <c r="G7" s="101"/>
    </row>
    <row r="8" spans="1:14" ht="5.0999999999999996" customHeight="1" x14ac:dyDescent="0.25">
      <c r="B8" s="222"/>
      <c r="G8" s="101"/>
    </row>
    <row r="9" spans="1:14" ht="26.25" x14ac:dyDescent="0.4">
      <c r="B9" s="222"/>
      <c r="C9" s="217">
        <f ca="1">+'2. Input_Allgemein'!E35</f>
        <v>46258</v>
      </c>
      <c r="E9" s="159"/>
      <c r="F9" s="159"/>
      <c r="G9" s="195"/>
      <c r="H9" s="155"/>
    </row>
    <row r="10" spans="1:14" ht="5.0999999999999996" customHeight="1" x14ac:dyDescent="0.4">
      <c r="B10" s="222"/>
      <c r="C10" s="217"/>
      <c r="E10" s="159"/>
      <c r="F10" s="159"/>
      <c r="G10" s="195"/>
      <c r="H10" s="155"/>
    </row>
    <row r="11" spans="1:14" ht="26.25" x14ac:dyDescent="0.4">
      <c r="B11" s="222"/>
      <c r="C11" s="280" t="s">
        <v>586</v>
      </c>
      <c r="D11" s="278"/>
      <c r="E11" s="159"/>
      <c r="F11" s="159"/>
      <c r="G11" s="195"/>
      <c r="H11" s="155"/>
    </row>
    <row r="12" spans="1:14" ht="26.25" x14ac:dyDescent="0.4">
      <c r="B12" s="222"/>
      <c r="C12" s="281">
        <f>+AVERAGE(G21:G22)*'4. Input_Plan'!J69*1000</f>
        <v>944133.33333333372</v>
      </c>
      <c r="D12" s="278"/>
      <c r="E12" s="159"/>
      <c r="F12" s="159"/>
      <c r="G12" s="195"/>
      <c r="H12" s="155"/>
    </row>
    <row r="13" spans="1:14" ht="26.25" x14ac:dyDescent="0.4">
      <c r="B13" s="222"/>
      <c r="C13" s="280">
        <f ca="1">+C9</f>
        <v>46258</v>
      </c>
      <c r="D13" s="278"/>
      <c r="E13" s="159"/>
      <c r="F13" s="159"/>
      <c r="G13" s="195"/>
      <c r="H13" s="155"/>
    </row>
    <row r="14" spans="1:14" ht="26.25" x14ac:dyDescent="0.4">
      <c r="B14" s="222"/>
      <c r="C14" s="279" t="s">
        <v>587</v>
      </c>
      <c r="D14" s="278"/>
      <c r="E14" s="159"/>
      <c r="F14" s="159"/>
      <c r="G14" s="195"/>
      <c r="H14" s="155"/>
    </row>
    <row r="15" spans="1:14" ht="5.0999999999999996" customHeight="1" x14ac:dyDescent="0.4">
      <c r="B15" s="222"/>
      <c r="C15" s="213"/>
      <c r="D15" s="214"/>
      <c r="E15" s="215"/>
      <c r="F15" s="215"/>
      <c r="G15" s="216"/>
      <c r="H15" s="215"/>
      <c r="I15" s="210"/>
      <c r="J15" s="210"/>
      <c r="K15" s="210"/>
      <c r="L15" s="210"/>
      <c r="M15" s="210"/>
      <c r="N15" s="210"/>
    </row>
    <row r="16" spans="1:14" x14ac:dyDescent="0.25">
      <c r="G16" s="101"/>
    </row>
    <row r="17" spans="1:24" x14ac:dyDescent="0.25"/>
    <row r="18" spans="1:24" s="3" customFormat="1" ht="27" thickBot="1" x14ac:dyDescent="0.45">
      <c r="A18" s="3" t="s">
        <v>573</v>
      </c>
      <c r="D18" s="97"/>
    </row>
    <row r="19" spans="1:24" hidden="1" x14ac:dyDescent="0.25">
      <c r="G19" s="101"/>
    </row>
    <row r="20" spans="1:24" hidden="1" x14ac:dyDescent="0.25">
      <c r="C20" s="2" t="s">
        <v>557</v>
      </c>
      <c r="D20" s="96" t="s">
        <v>289</v>
      </c>
      <c r="G20" s="117">
        <f ca="1">+C7/1000/'4. Input_Plan'!J69</f>
        <v>6.7459004085631893</v>
      </c>
    </row>
    <row r="21" spans="1:24" hidden="1" x14ac:dyDescent="0.25">
      <c r="C21" s="2" t="s">
        <v>576</v>
      </c>
      <c r="D21" s="96" t="str">
        <f>IF(+'2. Input_Allgemein'!E26="bitte auswählen","n/a",'2. Input_Allgemein'!E26)</f>
        <v>Maschinen- und Anlagenbau</v>
      </c>
      <c r="G21" s="117">
        <f>IF(D21="n/a","n/a",+INDEX(Technical!J6:L26,MATCH('2. Input_Allgemein'!E26,Technical!B6:B26,0),MATCH('2. Input_Allgemein'!E27,Technical!J5:L5,0)))</f>
        <v>3.5</v>
      </c>
      <c r="H21" s="60"/>
    </row>
    <row r="22" spans="1:24" hidden="1" x14ac:dyDescent="0.25">
      <c r="C22" s="2" t="s">
        <v>577</v>
      </c>
      <c r="D22" s="96" t="str">
        <f>IF(+'2. Input_Allgemein'!E26="bitte auswählen","n/a",'2. Input_Allgemein'!E26)</f>
        <v>Maschinen- und Anlagenbau</v>
      </c>
      <c r="G22" s="117">
        <f>IF(D22="n/a","n/a",+INDEX(Technical!E6:H26,MATCH('2. Input_Allgemein'!E26,Technical!B6:B26,0),MATCH('2. Input_Allgemein'!E27,Technical!E5:H5,0)))</f>
        <v>4.5</v>
      </c>
      <c r="I22" s="261" t="s">
        <v>563</v>
      </c>
    </row>
    <row r="23" spans="1:24" ht="5.0999999999999996" hidden="1" customHeight="1" x14ac:dyDescent="0.25">
      <c r="G23" s="117"/>
    </row>
    <row r="24" spans="1:24" hidden="1" x14ac:dyDescent="0.25">
      <c r="C24" s="2" t="s">
        <v>291</v>
      </c>
      <c r="D24" s="96" t="s">
        <v>289</v>
      </c>
      <c r="G24" s="273">
        <f>+AVERAGE('4. Input_Plan'!G85:J85)</f>
        <v>0.30905987602986262</v>
      </c>
    </row>
    <row r="25" spans="1:24" hidden="1" x14ac:dyDescent="0.25">
      <c r="C25" s="2" t="str">
        <f ca="1">+"nachhaltige EBIT-Marge - ab Jahr "&amp; '(AUSBLENDEN) Bewertung'!M92&amp;" ff."</f>
        <v>nachhaltige EBIT-Marge - ab Jahr 2032 ff.</v>
      </c>
      <c r="D25" s="96" t="s">
        <v>289</v>
      </c>
      <c r="G25" s="273">
        <f ca="1">+'4. Input_Plan'!P85</f>
        <v>0.26206740133305645</v>
      </c>
    </row>
    <row r="26" spans="1:24" ht="5.0999999999999996" hidden="1" customHeight="1" x14ac:dyDescent="0.25">
      <c r="G26" s="273"/>
    </row>
    <row r="27" spans="1:24" hidden="1" x14ac:dyDescent="0.25">
      <c r="C27" s="2" t="str">
        <f ca="1">+"angenommene Wachstumsrate - ab Jahr "&amp; '(AUSBLENDEN) Bewertung'!M92&amp;" ff."</f>
        <v>angenommene Wachstumsrate - ab Jahr 2032 ff.</v>
      </c>
      <c r="D27" s="96" t="s">
        <v>289</v>
      </c>
      <c r="G27" s="273">
        <f>+'4. Input_Plan'!E50</f>
        <v>1.4999999999999999E-2</v>
      </c>
    </row>
    <row r="28" spans="1:24" x14ac:dyDescent="0.25"/>
    <row r="29" spans="1:24" x14ac:dyDescent="0.25"/>
    <row r="30" spans="1:24" x14ac:dyDescent="0.25"/>
    <row r="31" spans="1:24" ht="15" customHeight="1" x14ac:dyDescent="0.25">
      <c r="Q31" s="343" t="s">
        <v>588</v>
      </c>
      <c r="R31" s="344"/>
      <c r="S31" s="345"/>
      <c r="V31" s="337" t="s">
        <v>589</v>
      </c>
      <c r="W31" s="338"/>
      <c r="X31" s="339"/>
    </row>
    <row r="32" spans="1:24" x14ac:dyDescent="0.25">
      <c r="Q32" s="346"/>
      <c r="R32" s="347"/>
      <c r="S32" s="348"/>
      <c r="V32" s="340"/>
      <c r="W32" s="341"/>
      <c r="X32" s="342"/>
    </row>
    <row r="33" spans="5:24" x14ac:dyDescent="0.25">
      <c r="Q33" s="346"/>
      <c r="R33" s="347"/>
      <c r="S33" s="348"/>
      <c r="V33" s="340"/>
      <c r="W33" s="341"/>
      <c r="X33" s="342"/>
    </row>
    <row r="34" spans="5:24" x14ac:dyDescent="0.25">
      <c r="Q34" s="349">
        <f>+G55</f>
        <v>0.30905987602986262</v>
      </c>
      <c r="R34" s="350"/>
      <c r="S34" s="351"/>
      <c r="V34" s="349">
        <f ca="1">+G56</f>
        <v>0.26206740133305645</v>
      </c>
      <c r="W34" s="350"/>
      <c r="X34" s="351"/>
    </row>
    <row r="35" spans="5:24" x14ac:dyDescent="0.25">
      <c r="Q35" s="352"/>
      <c r="R35" s="350"/>
      <c r="S35" s="351"/>
      <c r="V35" s="352"/>
      <c r="W35" s="350"/>
      <c r="X35" s="351"/>
    </row>
    <row r="36" spans="5:24" x14ac:dyDescent="0.25">
      <c r="Q36" s="353"/>
      <c r="R36" s="354"/>
      <c r="S36" s="355"/>
      <c r="V36" s="353"/>
      <c r="W36" s="354"/>
      <c r="X36" s="355"/>
    </row>
    <row r="37" spans="5:24" x14ac:dyDescent="0.25">
      <c r="E37" s="282"/>
      <c r="F37" s="282"/>
      <c r="G37" s="282"/>
    </row>
    <row r="38" spans="5:24" x14ac:dyDescent="0.25"/>
    <row r="39" spans="5:24" x14ac:dyDescent="0.25"/>
    <row r="40" spans="5:24" x14ac:dyDescent="0.25"/>
    <row r="41" spans="5:24" ht="15" customHeight="1" x14ac:dyDescent="0.25"/>
    <row r="42" spans="5:24" ht="15" customHeight="1" x14ac:dyDescent="0.25">
      <c r="Q42" s="343" t="str">
        <f>+"EBITDA Multiplikator 
"&amp;'2. Input_Allgemein'!E25</f>
        <v>EBITDA Multiplikator 
Beispiel AG</v>
      </c>
      <c r="R42" s="344"/>
      <c r="S42" s="345"/>
      <c r="V42" s="337" t="str">
        <f>+"EBITDA Multiplikator der Branche " &amp; D21</f>
        <v>EBITDA Multiplikator der Branche Maschinen- und Anlagenbau</v>
      </c>
      <c r="W42" s="338"/>
      <c r="X42" s="339"/>
    </row>
    <row r="43" spans="5:24" ht="15" customHeight="1" x14ac:dyDescent="0.25">
      <c r="Q43" s="346"/>
      <c r="R43" s="347"/>
      <c r="S43" s="348"/>
      <c r="V43" s="340"/>
      <c r="W43" s="341"/>
      <c r="X43" s="342"/>
    </row>
    <row r="44" spans="5:24" x14ac:dyDescent="0.25">
      <c r="Q44" s="346"/>
      <c r="R44" s="347"/>
      <c r="S44" s="348"/>
      <c r="V44" s="340"/>
      <c r="W44" s="341"/>
      <c r="X44" s="342"/>
    </row>
    <row r="45" spans="5:24" x14ac:dyDescent="0.25">
      <c r="Q45" s="331">
        <f ca="1">+G20</f>
        <v>6.7459004085631893</v>
      </c>
      <c r="R45" s="332"/>
      <c r="S45" s="333"/>
      <c r="V45" s="331">
        <f>+AVERAGE(G21:G22)</f>
        <v>4</v>
      </c>
      <c r="W45" s="332"/>
      <c r="X45" s="333"/>
    </row>
    <row r="46" spans="5:24" x14ac:dyDescent="0.25">
      <c r="Q46" s="331"/>
      <c r="R46" s="332"/>
      <c r="S46" s="333"/>
      <c r="V46" s="331"/>
      <c r="W46" s="332"/>
      <c r="X46" s="333"/>
    </row>
    <row r="47" spans="5:24" x14ac:dyDescent="0.25">
      <c r="Q47" s="334"/>
      <c r="R47" s="335"/>
      <c r="S47" s="336"/>
      <c r="V47" s="334"/>
      <c r="W47" s="335"/>
      <c r="X47" s="336"/>
    </row>
    <row r="48" spans="5:24" x14ac:dyDescent="0.25"/>
    <row r="49" spans="1:12" x14ac:dyDescent="0.25"/>
    <row r="50" spans="1:12" ht="15" customHeight="1" x14ac:dyDescent="0.25"/>
    <row r="51" spans="1:12" s="3" customFormat="1" ht="27" hidden="1" thickBot="1" x14ac:dyDescent="0.45">
      <c r="A51" s="3" t="s">
        <v>583</v>
      </c>
      <c r="D51" s="97"/>
    </row>
    <row r="54" spans="1:12" hidden="1" x14ac:dyDescent="0.25">
      <c r="C54" s="102" t="s">
        <v>260</v>
      </c>
    </row>
    <row r="55" spans="1:12" hidden="1" x14ac:dyDescent="0.25">
      <c r="C55" s="2" t="s">
        <v>266</v>
      </c>
      <c r="D55" s="96" t="s">
        <v>259</v>
      </c>
      <c r="G55" s="272">
        <f>+AVERAGE('4. Input_Plan'!G85:J85)</f>
        <v>0.30905987602986262</v>
      </c>
      <c r="J55" s="39"/>
    </row>
    <row r="56" spans="1:12" hidden="1" x14ac:dyDescent="0.25">
      <c r="C56" s="2" t="s">
        <v>265</v>
      </c>
      <c r="D56" s="96" t="s">
        <v>41</v>
      </c>
      <c r="G56" s="272">
        <f ca="1">+G25</f>
        <v>0.26206740133305645</v>
      </c>
      <c r="J56" s="39"/>
    </row>
    <row r="58" spans="1:12" hidden="1" x14ac:dyDescent="0.25">
      <c r="C58" s="2" t="s">
        <v>562</v>
      </c>
      <c r="D58" s="96" t="s">
        <v>276</v>
      </c>
      <c r="G58" s="154">
        <f ca="1">+'(AUSBLENDEN) Bewertung'!G88/'(AUSBLENDEN) Bewertung'!G12</f>
        <v>7.6544111571569715</v>
      </c>
    </row>
    <row r="59" spans="1:12" hidden="1" x14ac:dyDescent="0.25">
      <c r="C59" s="2" t="str">
        <f ca="1">+"EBIT Multiple - ab Jahr "&amp; '(AUSBLENDEN) Bewertung'!M92&amp;" ff."</f>
        <v>EBIT Multiple - ab Jahr 2032 ff.</v>
      </c>
      <c r="D59" s="96" t="s">
        <v>276</v>
      </c>
      <c r="G59" s="154">
        <f ca="1">+'(AUSBLENDEN) Bewertung'!G88/'(AUSBLENDEN) Bewertung'!M12</f>
        <v>7.1836185044068914</v>
      </c>
    </row>
    <row r="61" spans="1:12" hidden="1" x14ac:dyDescent="0.25">
      <c r="C61" s="8" t="s">
        <v>261</v>
      </c>
      <c r="G61" s="328" t="s">
        <v>558</v>
      </c>
      <c r="H61" s="329"/>
      <c r="I61" s="329"/>
      <c r="J61" s="329"/>
      <c r="K61" s="329"/>
      <c r="L61" s="330"/>
    </row>
    <row r="63" spans="1:12" hidden="1" x14ac:dyDescent="0.25">
      <c r="C63" s="67"/>
      <c r="E63" s="100"/>
      <c r="G63" s="45"/>
      <c r="H63" s="105"/>
      <c r="I63" s="105"/>
      <c r="J63" s="105"/>
      <c r="K63" s="105"/>
    </row>
    <row r="64" spans="1:12" hidden="1" x14ac:dyDescent="0.25">
      <c r="C64" s="102" t="s">
        <v>262</v>
      </c>
    </row>
    <row r="65" spans="3:12" hidden="1" x14ac:dyDescent="0.25">
      <c r="C65" s="2" t="s">
        <v>264</v>
      </c>
      <c r="D65" s="96" t="s">
        <v>275</v>
      </c>
      <c r="G65" s="60">
        <f ca="1">+'(AUSBLENDEN) Bewertung'!M28+'(AUSBLENDEN) Bewertung'!M30</f>
        <v>157.90136546329407</v>
      </c>
    </row>
    <row r="66" spans="3:12" hidden="1" x14ac:dyDescent="0.25">
      <c r="C66" s="2" t="s">
        <v>565</v>
      </c>
      <c r="D66" s="96" t="s">
        <v>275</v>
      </c>
      <c r="G66" s="60">
        <f ca="1">+'(AUSBLENDEN) Bewertung'!M28+'(AUSBLENDEN) Bewertung'!M30-(+'(AUSBLENDEN) Bewertung'!L28+'(AUSBLENDEN) Bewertung'!L30)</f>
        <v>4.049970219141926</v>
      </c>
    </row>
    <row r="67" spans="3:12" hidden="1" x14ac:dyDescent="0.25">
      <c r="C67" s="2" t="s">
        <v>566</v>
      </c>
      <c r="D67" s="96" t="s">
        <v>275</v>
      </c>
      <c r="G67" s="60">
        <f ca="1">-SUM('(AUSBLENDEN) Bewertung'!M32:M34)</f>
        <v>9.1537572345982312</v>
      </c>
    </row>
    <row r="68" spans="3:12" hidden="1" x14ac:dyDescent="0.25">
      <c r="C68" s="2" t="s">
        <v>567</v>
      </c>
      <c r="D68" s="96" t="s">
        <v>41</v>
      </c>
      <c r="G68" s="118">
        <f ca="1">+G67/G65</f>
        <v>5.7971362107860455E-2</v>
      </c>
    </row>
    <row r="69" spans="3:12" hidden="1" x14ac:dyDescent="0.25">
      <c r="C69" s="61"/>
      <c r="G69" s="118"/>
    </row>
    <row r="70" spans="3:12" hidden="1" x14ac:dyDescent="0.25">
      <c r="C70" s="149" t="s">
        <v>270</v>
      </c>
      <c r="D70" s="109" t="s">
        <v>41</v>
      </c>
      <c r="E70" s="120"/>
      <c r="F70" s="120"/>
      <c r="G70" s="150">
        <f ca="1">IF(+G66/G67&lt;0,0,G66/G67)</f>
        <v>0.44243801920312603</v>
      </c>
    </row>
    <row r="71" spans="3:12" hidden="1" x14ac:dyDescent="0.25">
      <c r="C71" s="262" t="s">
        <v>564</v>
      </c>
      <c r="D71" s="96" t="s">
        <v>41</v>
      </c>
      <c r="G71" s="263">
        <f ca="1">+G70*G68</f>
        <v>2.5648734621508937E-2</v>
      </c>
    </row>
    <row r="72" spans="3:12" ht="5.0999999999999996" hidden="1" customHeight="1" x14ac:dyDescent="0.25">
      <c r="C72" s="262"/>
      <c r="G72" s="263"/>
    </row>
    <row r="73" spans="3:12" hidden="1" x14ac:dyDescent="0.25">
      <c r="C73" s="151" t="s">
        <v>271</v>
      </c>
      <c r="D73" s="152" t="s">
        <v>41</v>
      </c>
      <c r="E73" s="94"/>
      <c r="F73" s="94"/>
      <c r="G73" s="153">
        <f ca="1">+'(AUSBLENDEN) Bewertung'!M77</f>
        <v>8.9628389792870564E-2</v>
      </c>
    </row>
    <row r="75" spans="3:12" hidden="1" x14ac:dyDescent="0.25">
      <c r="C75" s="8" t="s">
        <v>261</v>
      </c>
      <c r="G75" s="328" t="s">
        <v>286</v>
      </c>
      <c r="H75" s="329"/>
      <c r="I75" s="329"/>
      <c r="J75" s="329"/>
      <c r="K75" s="329"/>
      <c r="L75" s="330"/>
    </row>
    <row r="76" spans="3:12" hidden="1" x14ac:dyDescent="0.25">
      <c r="C76" s="8"/>
    </row>
    <row r="78" spans="3:12" hidden="1" x14ac:dyDescent="0.25">
      <c r="C78" s="102" t="s">
        <v>559</v>
      </c>
    </row>
    <row r="79" spans="3:12" hidden="1" x14ac:dyDescent="0.25">
      <c r="C79" s="2" t="s">
        <v>560</v>
      </c>
      <c r="D79" s="96" t="s">
        <v>570</v>
      </c>
      <c r="G79" s="60">
        <f>+'4. Input_Plan'!J69</f>
        <v>236.03333333333342</v>
      </c>
    </row>
    <row r="80" spans="3:12" hidden="1" x14ac:dyDescent="0.25">
      <c r="C80" s="2" t="s">
        <v>568</v>
      </c>
      <c r="D80" s="96" t="s">
        <v>570</v>
      </c>
      <c r="G80" s="60">
        <f>+AVERAGE('4. Input_Plan'!H183:J183)</f>
        <v>104.78888888888893</v>
      </c>
    </row>
    <row r="81" spans="1:16" ht="5.0999999999999996" hidden="1" customHeight="1" x14ac:dyDescent="0.25">
      <c r="G81" s="61"/>
    </row>
    <row r="82" spans="1:16" hidden="1" x14ac:dyDescent="0.25">
      <c r="C82" s="265" t="s">
        <v>572</v>
      </c>
      <c r="D82" s="266"/>
      <c r="E82" s="193"/>
      <c r="F82" s="193"/>
      <c r="G82" s="274">
        <f>+G80/G79</f>
        <v>0.44395800969731208</v>
      </c>
    </row>
    <row r="83" spans="1:16" hidden="1" x14ac:dyDescent="0.25">
      <c r="G83" s="264"/>
    </row>
    <row r="84" spans="1:16" hidden="1" x14ac:dyDescent="0.25">
      <c r="C84" s="2" t="s">
        <v>561</v>
      </c>
      <c r="D84" s="96" t="str">
        <f ca="1">+"ab Jahr "&amp; '(AUSBLENDEN) Bewertung'!M92&amp;" f."</f>
        <v>ab Jahr 2032 f.</v>
      </c>
      <c r="G84" s="60">
        <f ca="1">+'4. Input_Plan'!P69</f>
        <v>381.01909604255349</v>
      </c>
    </row>
    <row r="85" spans="1:16" hidden="1" x14ac:dyDescent="0.25">
      <c r="C85" s="2" t="s">
        <v>569</v>
      </c>
      <c r="D85" s="96" t="str">
        <f ca="1">+"ab Jahr "&amp; '(AUSBLENDEN) Bewertung'!M92&amp;" f."</f>
        <v>ab Jahr 2032 f.</v>
      </c>
      <c r="G85" s="60">
        <f ca="1">+'(AUSBLENDEN) Bewertung'!M36</f>
        <v>148.74760822869587</v>
      </c>
    </row>
    <row r="86" spans="1:16" ht="5.0999999999999996" hidden="1" customHeight="1" x14ac:dyDescent="0.25">
      <c r="G86" s="61"/>
    </row>
    <row r="87" spans="1:16" hidden="1" x14ac:dyDescent="0.25">
      <c r="C87" s="265" t="s">
        <v>571</v>
      </c>
      <c r="D87" s="266"/>
      <c r="E87" s="193"/>
      <c r="F87" s="193"/>
      <c r="G87" s="267">
        <f ca="1">+G85/G84</f>
        <v>0.39039410300864091</v>
      </c>
    </row>
    <row r="89" spans="1:16" hidden="1" x14ac:dyDescent="0.25">
      <c r="C89" s="8" t="s">
        <v>261</v>
      </c>
      <c r="G89" s="328" t="s">
        <v>286</v>
      </c>
      <c r="H89" s="329"/>
      <c r="I89" s="329"/>
      <c r="J89" s="329"/>
      <c r="K89" s="329"/>
      <c r="L89" s="330"/>
    </row>
    <row r="92" spans="1:16" s="3" customFormat="1" ht="27" hidden="1" thickBot="1" x14ac:dyDescent="0.45">
      <c r="A92" s="3" t="s">
        <v>582</v>
      </c>
      <c r="D92" s="97"/>
    </row>
    <row r="94" spans="1:16" hidden="1" x14ac:dyDescent="0.25">
      <c r="G94" s="9"/>
      <c r="H94" s="9"/>
      <c r="I94" s="9"/>
      <c r="J94" s="20" t="s">
        <v>38</v>
      </c>
      <c r="K94" s="10" t="s">
        <v>39</v>
      </c>
      <c r="L94" s="10"/>
      <c r="M94" s="10"/>
      <c r="N94" s="10"/>
      <c r="O94" s="10"/>
      <c r="P94" s="73" t="s">
        <v>104</v>
      </c>
    </row>
    <row r="95" spans="1:16" hidden="1" x14ac:dyDescent="0.25">
      <c r="E95" s="61"/>
      <c r="G95" s="13">
        <f ca="1">+'4. Input_Plan'!G57</f>
        <v>2023</v>
      </c>
      <c r="H95" s="13">
        <f ca="1">+'4. Input_Plan'!H57</f>
        <v>2024</v>
      </c>
      <c r="I95" s="13">
        <f ca="1">+'4. Input_Plan'!I57</f>
        <v>2025</v>
      </c>
      <c r="J95" s="21">
        <f ca="1">+'4. Input_Plan'!J57</f>
        <v>2026</v>
      </c>
      <c r="K95" s="14">
        <f ca="1">+'4. Input_Plan'!K57</f>
        <v>2027</v>
      </c>
      <c r="L95" s="11">
        <f ca="1">+'4. Input_Plan'!L57</f>
        <v>2028</v>
      </c>
      <c r="M95" s="11">
        <f ca="1">+'4. Input_Plan'!M57</f>
        <v>2029</v>
      </c>
      <c r="N95" s="11">
        <f ca="1">+'4. Input_Plan'!N57</f>
        <v>2030</v>
      </c>
      <c r="O95" s="12">
        <f ca="1">+'4. Input_Plan'!O57</f>
        <v>2031</v>
      </c>
      <c r="P95" s="233">
        <f ca="1">+OFFSET(J95,,'2. Input_Allgemein'!$E$36)+1</f>
        <v>2032</v>
      </c>
    </row>
    <row r="96" spans="1:16" hidden="1" x14ac:dyDescent="0.25">
      <c r="C96" s="102" t="s">
        <v>575</v>
      </c>
      <c r="P96" s="148"/>
    </row>
    <row r="97" spans="3:21" hidden="1" x14ac:dyDescent="0.25">
      <c r="C97" s="2" t="s">
        <v>230</v>
      </c>
      <c r="D97" s="6" t="s">
        <v>41</v>
      </c>
      <c r="G97" s="87"/>
      <c r="H97" s="268">
        <f>+'4. Input_Plan'!H58/'4. Input_Plan'!G58-1</f>
        <v>0</v>
      </c>
      <c r="I97" s="268">
        <f>+'4. Input_Plan'!I58/'4. Input_Plan'!H58-1</f>
        <v>0.35251798561151082</v>
      </c>
      <c r="J97" s="268">
        <f>+'4. Input_Plan'!J58/'4. Input_Plan'!I58-1</f>
        <v>3.1914893617021267E-2</v>
      </c>
      <c r="K97" s="268">
        <f>+'4. Input_Plan'!K58/'4. Input_Plan'!J58-1</f>
        <v>5.0000000000000044E-2</v>
      </c>
      <c r="L97" s="268">
        <f>+'4. Input_Plan'!L58/'4. Input_Plan'!K58-1</f>
        <v>5.0000000000000044E-2</v>
      </c>
      <c r="M97" s="268">
        <f>+'4. Input_Plan'!M58/'4. Input_Plan'!L58-1</f>
        <v>5.0000000000000044E-2</v>
      </c>
      <c r="N97" s="268">
        <f>+'4. Input_Plan'!N58/'4. Input_Plan'!M58-1</f>
        <v>5.0000000000000044E-2</v>
      </c>
      <c r="O97" s="268">
        <f>+'4. Input_Plan'!O58/'4. Input_Plan'!N58-1</f>
        <v>5.0000000000000044E-2</v>
      </c>
      <c r="P97" s="268">
        <f ca="1">+'4. Input_Plan'!P58/+OFFSET('4. Input_Plan'!J58,,'2. Input_Allgemein'!$E$36)-1</f>
        <v>1.4999999999999902E-2</v>
      </c>
      <c r="S97" s="325" t="s">
        <v>558</v>
      </c>
      <c r="T97" s="326"/>
      <c r="U97" s="327"/>
    </row>
    <row r="98" spans="3:21" hidden="1" x14ac:dyDescent="0.25">
      <c r="C98" s="2" t="s">
        <v>579</v>
      </c>
      <c r="D98" s="6" t="s">
        <v>41</v>
      </c>
      <c r="G98" s="87"/>
      <c r="H98" s="283"/>
      <c r="I98" s="283"/>
      <c r="J98" s="283"/>
      <c r="K98" s="268">
        <f ca="1">(+'4. Input_Plan'!K58/'4. Input_Plan'!$J$58)^(1/(K95-$J$95))-1</f>
        <v>5.0000000000000044E-2</v>
      </c>
      <c r="L98" s="268">
        <f ca="1">(+'4. Input_Plan'!L58/'4. Input_Plan'!$J$58)^(1/(L95-$J$95))-1</f>
        <v>5.0000000000000044E-2</v>
      </c>
      <c r="M98" s="268">
        <f ca="1">(+'4. Input_Plan'!M58/'4. Input_Plan'!$J$58)^(1/(M95-$J$95))-1</f>
        <v>5.0000000000000044E-2</v>
      </c>
      <c r="N98" s="268">
        <f ca="1">(+'4. Input_Plan'!N58/'4. Input_Plan'!$J$58)^(1/(N95-$J$95))-1</f>
        <v>5.0000000000000044E-2</v>
      </c>
      <c r="O98" s="268">
        <f ca="1">(+'4. Input_Plan'!O58/'4. Input_Plan'!$J$58)^(1/(O95-$J$95))-1</f>
        <v>5.0000000000000044E-2</v>
      </c>
      <c r="P98" s="268">
        <f ca="1">(+'4. Input_Plan'!P58/'4. Input_Plan'!$J$58)^(1/(P95-$J$95))-1</f>
        <v>4.4083957780345129E-2</v>
      </c>
    </row>
    <row r="99" spans="3:21" ht="5.0999999999999996" hidden="1" customHeight="1" x14ac:dyDescent="0.25">
      <c r="G99" s="61"/>
      <c r="H99" s="194"/>
      <c r="I99" s="194"/>
      <c r="J99" s="194"/>
      <c r="K99" s="194"/>
      <c r="L99" s="194"/>
      <c r="M99" s="194"/>
      <c r="N99" s="194"/>
      <c r="O99" s="194"/>
      <c r="P99" s="194"/>
    </row>
    <row r="100" spans="3:21" hidden="1" x14ac:dyDescent="0.25">
      <c r="C100" s="2" t="s">
        <v>231</v>
      </c>
      <c r="D100" s="6" t="s">
        <v>41</v>
      </c>
      <c r="G100" s="268">
        <f>+'4. Input_Plan'!G61/'4. Input_Plan'!G58</f>
        <v>0.89999999999999991</v>
      </c>
      <c r="H100" s="268">
        <f>+'4. Input_Plan'!H61/'4. Input_Plan'!H58</f>
        <v>0.89999999999999991</v>
      </c>
      <c r="I100" s="268">
        <f>+'4. Input_Plan'!I61/'4. Input_Plan'!I58</f>
        <v>0.9</v>
      </c>
      <c r="J100" s="268">
        <f>+'4. Input_Plan'!J61/'4. Input_Plan'!J58</f>
        <v>0.9</v>
      </c>
      <c r="K100" s="268">
        <f>+'4. Input_Plan'!K61/'4. Input_Plan'!K58</f>
        <v>0.90380952380952373</v>
      </c>
      <c r="L100" s="268">
        <f>+'4. Input_Plan'!L61/'4. Input_Plan'!L58</f>
        <v>0.9074739229024944</v>
      </c>
      <c r="M100" s="268">
        <f>+'4. Input_Plan'!M61/'4. Input_Plan'!M58</f>
        <v>0.91099872583954222</v>
      </c>
      <c r="N100" s="268">
        <f>+'4. Input_Plan'!N61/'4. Input_Plan'!N58</f>
        <v>0.9143892505694643</v>
      </c>
      <c r="O100" s="268">
        <f>+'4. Input_Plan'!O61/'4. Input_Plan'!O58</f>
        <v>0.91765061245253243</v>
      </c>
      <c r="P100" s="268">
        <f ca="1">+'4. Input_Plan'!P61/'4. Input_Plan'!P58</f>
        <v>0.91765061245253243</v>
      </c>
    </row>
    <row r="101" spans="3:21" hidden="1" x14ac:dyDescent="0.25">
      <c r="C101" s="2" t="s">
        <v>228</v>
      </c>
      <c r="D101" s="6" t="s">
        <v>41</v>
      </c>
      <c r="G101" s="268">
        <f>+'4. Input_Plan'!G69/'4. Input_Plan'!G58</f>
        <v>0.36499999999999988</v>
      </c>
      <c r="H101" s="268">
        <f>+'4. Input_Plan'!H69/'4. Input_Plan'!H58</f>
        <v>0.36499999999999988</v>
      </c>
      <c r="I101" s="268">
        <f>+'4. Input_Plan'!I69/'4. Input_Plan'!I58</f>
        <v>0.36499999999999999</v>
      </c>
      <c r="J101" s="268">
        <f>+'4. Input_Plan'!J69/'4. Input_Plan'!J58</f>
        <v>0.3650000000000001</v>
      </c>
      <c r="K101" s="268">
        <f>+'4. Input_Plan'!K69/'4. Input_Plan'!K58</f>
        <v>0.38409523809523799</v>
      </c>
      <c r="L101" s="268">
        <f>+'4. Input_Plan'!L69/'4. Input_Plan'!L58</f>
        <v>0.40260861678004539</v>
      </c>
      <c r="M101" s="268">
        <f>+'4. Input_Plan'!M69/'4. Input_Plan'!M58</f>
        <v>0.42055814274916314</v>
      </c>
      <c r="N101" s="268">
        <f>+'4. Input_Plan'!N69/'4. Input_Plan'!N58</f>
        <v>0.43796125556738197</v>
      </c>
      <c r="O101" s="268">
        <f>+'4. Input_Plan'!O69/'4. Input_Plan'!O58</f>
        <v>0.45483484587908102</v>
      </c>
      <c r="P101" s="268">
        <f ca="1">+'4. Input_Plan'!P69/'4. Input_Plan'!P58</f>
        <v>0.45483484587908102</v>
      </c>
    </row>
    <row r="102" spans="3:21" ht="5.0999999999999996" hidden="1" customHeight="1" x14ac:dyDescent="0.25">
      <c r="G102" s="194"/>
      <c r="H102" s="194"/>
      <c r="I102" s="194"/>
      <c r="J102" s="194"/>
      <c r="K102" s="194"/>
      <c r="L102" s="194"/>
      <c r="M102" s="194"/>
      <c r="N102" s="194"/>
      <c r="O102" s="194"/>
      <c r="P102" s="194"/>
    </row>
    <row r="103" spans="3:21" hidden="1" x14ac:dyDescent="0.25">
      <c r="C103" s="2" t="s">
        <v>229</v>
      </c>
      <c r="D103" s="6" t="s">
        <v>41</v>
      </c>
      <c r="G103" s="268">
        <f>+'4. Input_Plan'!G84/'4. Input_Plan'!G58</f>
        <v>0.30025179856115097</v>
      </c>
      <c r="H103" s="268">
        <f>+'4. Input_Plan'!H84/'4. Input_Plan'!H58</f>
        <v>0.30025179856115097</v>
      </c>
      <c r="I103" s="268">
        <f>+'4. Input_Plan'!I84/'4. Input_Plan'!I58</f>
        <v>0.31712765957446809</v>
      </c>
      <c r="J103" s="268">
        <f>+'4. Input_Plan'!J84/'4. Input_Plan'!J58</f>
        <v>0.31860824742268051</v>
      </c>
      <c r="K103" s="268">
        <f ca="1">+'4. Input_Plan'!K84/'4. Input_Plan'!K58</f>
        <v>0.27557430394838339</v>
      </c>
      <c r="L103" s="268">
        <f ca="1">+'4. Input_Plan'!L84/'4. Input_Plan'!L58</f>
        <v>0.27068391759256483</v>
      </c>
      <c r="M103" s="268">
        <f ca="1">+'4. Input_Plan'!M84/'4. Input_Plan'!M58</f>
        <v>0.26634414352299124</v>
      </c>
      <c r="N103" s="268">
        <f ca="1">+'4. Input_Plan'!N84/'4. Input_Plan'!N58</f>
        <v>0.26251935154245626</v>
      </c>
      <c r="O103" s="268">
        <f ca="1">+'4. Input_Plan'!O84/'4. Input_Plan'!O58</f>
        <v>0.2591758896648661</v>
      </c>
      <c r="P103" s="268">
        <f ca="1">+'4. Input_Plan'!P84/'4. Input_Plan'!P58</f>
        <v>0.26206740133305645</v>
      </c>
    </row>
    <row r="104" spans="3:21" hidden="1" x14ac:dyDescent="0.25">
      <c r="C104" s="2" t="s">
        <v>578</v>
      </c>
      <c r="D104" s="6" t="s">
        <v>41</v>
      </c>
      <c r="G104" s="283"/>
      <c r="H104" s="283"/>
      <c r="I104" s="283"/>
      <c r="J104" s="283"/>
      <c r="K104" s="268">
        <f ca="1">(+'4. Input_Plan'!K84/'4. Input_Plan'!$J$84)^(1/(K95-$J$95))-1</f>
        <v>-9.1821942820163649E-2</v>
      </c>
      <c r="L104" s="268">
        <f ca="1">(+'4. Input_Plan'!L84/'4. Input_Plan'!$J$84)^(1/(L95-$J$95))-1</f>
        <v>-3.2185735294602114E-2</v>
      </c>
      <c r="M104" s="268">
        <f ca="1">(+'4. Input_Plan'!M84/'4. Input_Plan'!$J$84)^(1/(M95-$J$95))-1</f>
        <v>-1.087462106663406E-2</v>
      </c>
      <c r="N104" s="268">
        <f ca="1">(+'4. Input_Plan'!N84/'4. Input_Plan'!$J$84)^(1/(N95-$J$95))-1</f>
        <v>3.8086565190065258E-4</v>
      </c>
      <c r="O104" s="268">
        <f ca="1">(+'4. Input_Plan'!O84/'4. Input_Plan'!$J$84)^(1/(O95-$J$95))-1</f>
        <v>7.5272844662745975E-3</v>
      </c>
      <c r="P104" s="268">
        <f ca="1">(+'4. Input_Plan'!P84/'4. Input_Plan'!$J$84)^(1/(P95-$J$95))-1</f>
        <v>1.0635977018315979E-2</v>
      </c>
    </row>
    <row r="105" spans="3:21" ht="5.0999999999999996" hidden="1" customHeight="1" x14ac:dyDescent="0.25">
      <c r="G105" s="194"/>
      <c r="H105" s="194"/>
      <c r="I105" s="194"/>
      <c r="J105" s="194"/>
      <c r="K105" s="194"/>
      <c r="L105" s="194"/>
      <c r="M105" s="194"/>
      <c r="N105" s="194"/>
      <c r="O105" s="194"/>
      <c r="P105" s="194"/>
    </row>
    <row r="106" spans="3:21" hidden="1" x14ac:dyDescent="0.25">
      <c r="C106" s="2" t="s">
        <v>248</v>
      </c>
      <c r="D106" s="6" t="s">
        <v>41</v>
      </c>
      <c r="G106" s="268">
        <f>+'4. Input_Plan'!G89/'4. Input_Plan'!G58</f>
        <v>0.29525179856115097</v>
      </c>
      <c r="H106" s="268">
        <f>+'4. Input_Plan'!H89/'4. Input_Plan'!H58</f>
        <v>0.29525179856115097</v>
      </c>
      <c r="I106" s="268">
        <f>+'4. Input_Plan'!I89/'4. Input_Plan'!I58</f>
        <v>0.31212765957446809</v>
      </c>
      <c r="J106" s="268">
        <f>+'4. Input_Plan'!J89/'4. Input_Plan'!J58</f>
        <v>0.31360824742268051</v>
      </c>
      <c r="K106" s="268">
        <f ca="1">+'4. Input_Plan'!K89/'4. Input_Plan'!K58</f>
        <v>0.26821053369801523</v>
      </c>
      <c r="L106" s="268">
        <f ca="1">+'4. Input_Plan'!L89/'4. Input_Plan'!L58</f>
        <v>0.22966671542451059</v>
      </c>
      <c r="M106" s="268">
        <f ca="1">+'4. Input_Plan'!M89/'4. Input_Plan'!M58</f>
        <v>0.22728014145817765</v>
      </c>
      <c r="N106" s="268">
        <f ca="1">+'4. Input_Plan'!N89/'4. Input_Plan'!N58</f>
        <v>0.22531554005215765</v>
      </c>
      <c r="O106" s="268">
        <f ca="1">+'4. Input_Plan'!O89/'4. Input_Plan'!O58</f>
        <v>0.22374368824553409</v>
      </c>
      <c r="P106" s="268">
        <f ca="1">+'4. Input_Plan'!P89/'4. Input_Plan'!P58</f>
        <v>0.22715882850612829</v>
      </c>
    </row>
    <row r="107" spans="3:21" hidden="1" x14ac:dyDescent="0.25">
      <c r="C107" s="2" t="s">
        <v>247</v>
      </c>
      <c r="D107" s="6" t="s">
        <v>41</v>
      </c>
      <c r="G107" s="268">
        <f>+'4. Input_Plan'!G93/'4. Input_Plan'!G58</f>
        <v>0.23050359712230203</v>
      </c>
      <c r="H107" s="268">
        <f>+'4. Input_Plan'!H93/'4. Input_Plan'!H58</f>
        <v>0.21971223021582723</v>
      </c>
      <c r="I107" s="268">
        <f>+'4. Input_Plan'!I93/'4. Input_Plan'!I58</f>
        <v>0.24829787234042555</v>
      </c>
      <c r="J107" s="268">
        <f>+'4. Input_Plan'!J93/'4. Input_Plan'!J58</f>
        <v>0.25175257731958772</v>
      </c>
      <c r="K107" s="268">
        <f ca="1">+'4. Input_Plan'!K93/'4. Input_Plan'!K58</f>
        <v>0.19291042636229744</v>
      </c>
      <c r="L107" s="268">
        <f ca="1">+'4. Input_Plan'!L93/'4. Input_Plan'!L58</f>
        <v>0.16518778506907925</v>
      </c>
      <c r="M107" s="268">
        <f ca="1">+'4. Input_Plan'!M93/'4. Input_Plan'!M58</f>
        <v>0.16347124174379429</v>
      </c>
      <c r="N107" s="268">
        <f ca="1">+'4. Input_Plan'!N93/'4. Input_Plan'!N58</f>
        <v>0.16205820218251438</v>
      </c>
      <c r="O107" s="268">
        <f ca="1">+'4. Input_Plan'!O93/'4. Input_Plan'!O58</f>
        <v>0.16092764777060037</v>
      </c>
      <c r="P107" s="268">
        <f ca="1">+'4. Input_Plan'!P93/'4. Input_Plan'!P58</f>
        <v>0.16338398740303275</v>
      </c>
    </row>
    <row r="109" spans="3:21" hidden="1" x14ac:dyDescent="0.25">
      <c r="C109" s="102" t="s">
        <v>226</v>
      </c>
    </row>
    <row r="110" spans="3:21" hidden="1" x14ac:dyDescent="0.25">
      <c r="C110" s="2" t="s">
        <v>250</v>
      </c>
      <c r="D110" s="6" t="s">
        <v>304</v>
      </c>
      <c r="G110" s="87"/>
      <c r="H110" s="32">
        <f>+'4. Input_Plan'!H58/(('4. Input_Plan'!H121+'4. Input_Plan'!G121)/2)</f>
        <v>1.4240344227025925</v>
      </c>
      <c r="I110" s="32">
        <f>+'4. Input_Plan'!I58/(('4. Input_Plan'!I121+'4. Input_Plan'!H121)/2)</f>
        <v>1.3321995464852614</v>
      </c>
      <c r="J110" s="32">
        <f>+'4. Input_Plan'!J58/(('4. Input_Plan'!J121+'4. Input_Plan'!I121)/2)</f>
        <v>0.99804506636485257</v>
      </c>
      <c r="K110" s="269">
        <f ca="1">+'4. Input_Plan'!K58/(('4. Input_Plan'!K121+'4. Input_Plan'!J121)/2)</f>
        <v>0.69498549371922524</v>
      </c>
      <c r="L110" s="269">
        <f ca="1">+'4. Input_Plan'!L58/(('4. Input_Plan'!L121+'4. Input_Plan'!K121)/2)</f>
        <v>0.56828227880550453</v>
      </c>
      <c r="M110" s="269">
        <f ca="1">+'4. Input_Plan'!M58/(('4. Input_Plan'!M121+'4. Input_Plan'!L121)/2)</f>
        <v>0.57073640259879421</v>
      </c>
      <c r="N110" s="269">
        <f ca="1">+'4. Input_Plan'!N58/(('4. Input_Plan'!N121+'4. Input_Plan'!M121)/2)</f>
        <v>0.58015132440703165</v>
      </c>
      <c r="O110" s="269">
        <f ca="1">+'4. Input_Plan'!O58/(('4. Input_Plan'!O121+'4. Input_Plan'!N121)/2)</f>
        <v>0.59651953169375938</v>
      </c>
      <c r="P110" s="32">
        <f ca="1">+'4. Input_Plan'!P58/(('4. Input_Plan'!P121+'4. Input_Plan'!O121)/2)</f>
        <v>0.59683489302114279</v>
      </c>
    </row>
    <row r="111" spans="3:21" hidden="1" x14ac:dyDescent="0.25">
      <c r="C111" s="2" t="s">
        <v>236</v>
      </c>
      <c r="D111" s="6" t="s">
        <v>232</v>
      </c>
      <c r="G111" s="32">
        <f>'4. Input_Plan'!G110/-'4. Input_Plan'!G60*365</f>
        <v>730</v>
      </c>
      <c r="H111" s="32">
        <f>'4. Input_Plan'!H110/-'4. Input_Plan'!H60*365</f>
        <v>730</v>
      </c>
      <c r="I111" s="32">
        <f>'4. Input_Plan'!I110/-'4. Input_Plan'!I60*365</f>
        <v>730</v>
      </c>
      <c r="J111" s="32">
        <f>'4. Input_Plan'!J110/-'4. Input_Plan'!J60*365</f>
        <v>730</v>
      </c>
      <c r="K111" s="269">
        <f>'4. Input_Plan'!K110/-'4. Input_Plan'!K60*365</f>
        <v>758.91089108910899</v>
      </c>
      <c r="L111" s="269">
        <f>'4. Input_Plan'!L110/-'4. Input_Plan'!L60*365</f>
        <v>788.96676796392535</v>
      </c>
      <c r="M111" s="269">
        <f>'4. Input_Plan'!M110/-'4. Input_Plan'!M60*365</f>
        <v>820.21297659616005</v>
      </c>
      <c r="N111" s="269">
        <f>'4. Input_Plan'!N110/-'4. Input_Plan'!N60*365</f>
        <v>852.69665883759194</v>
      </c>
      <c r="O111" s="269">
        <f>'4. Input_Plan'!O110/-'4. Input_Plan'!O60*365</f>
        <v>886.46682354403129</v>
      </c>
      <c r="P111" s="32">
        <f ca="1">'4. Input_Plan'!P110/-'4. Input_Plan'!P60*365</f>
        <v>886.46682354403129</v>
      </c>
    </row>
    <row r="112" spans="3:21" hidden="1" x14ac:dyDescent="0.25">
      <c r="C112" s="2" t="s">
        <v>235</v>
      </c>
      <c r="D112" s="6" t="s">
        <v>232</v>
      </c>
      <c r="G112" s="32">
        <f>+'4. Input_Plan'!G111/'4. Input_Plan'!G58*365</f>
        <v>91.25</v>
      </c>
      <c r="H112" s="32">
        <f>+'4. Input_Plan'!H111/'4. Input_Plan'!H58*365</f>
        <v>91.25</v>
      </c>
      <c r="I112" s="32">
        <f>+'4. Input_Plan'!I111/'4. Input_Plan'!I58*365</f>
        <v>91.25</v>
      </c>
      <c r="J112" s="32">
        <f>+'4. Input_Plan'!J111/'4. Input_Plan'!J58*365</f>
        <v>91.25</v>
      </c>
      <c r="K112" s="269">
        <f>+'4. Input_Plan'!K111/'4. Input_Plan'!K58*365</f>
        <v>91.25</v>
      </c>
      <c r="L112" s="269">
        <f>+'4. Input_Plan'!L111/'4. Input_Plan'!L58*365</f>
        <v>91.25</v>
      </c>
      <c r="M112" s="269">
        <f>+'4. Input_Plan'!M111/'4. Input_Plan'!M58*365</f>
        <v>91.25</v>
      </c>
      <c r="N112" s="269">
        <f>+'4. Input_Plan'!N111/'4. Input_Plan'!N58*365</f>
        <v>91.25</v>
      </c>
      <c r="O112" s="269">
        <f>+'4. Input_Plan'!O111/'4. Input_Plan'!O58*365</f>
        <v>91.25</v>
      </c>
      <c r="P112" s="32">
        <f ca="1">+'4. Input_Plan'!P111/'4. Input_Plan'!P58*365</f>
        <v>91.25</v>
      </c>
    </row>
    <row r="113" spans="3:21" hidden="1" x14ac:dyDescent="0.25">
      <c r="C113" s="2" t="s">
        <v>234</v>
      </c>
      <c r="D113" s="6" t="s">
        <v>232</v>
      </c>
      <c r="G113" s="32">
        <f>+'4. Input_Plan'!G145/-'4. Input_Plan'!G60*365</f>
        <v>547.49999999999989</v>
      </c>
      <c r="H113" s="32">
        <f>+'4. Input_Plan'!H145/-'4. Input_Plan'!H60*365</f>
        <v>547.49999999999989</v>
      </c>
      <c r="I113" s="32">
        <f>+'4. Input_Plan'!I145/-'4. Input_Plan'!I60*365</f>
        <v>547.5</v>
      </c>
      <c r="J113" s="32">
        <f>+'4. Input_Plan'!J145/-'4. Input_Plan'!J60*365</f>
        <v>547.5</v>
      </c>
      <c r="K113" s="269">
        <f>+'4. Input_Plan'!K145/-'4. Input_Plan'!K60*365</f>
        <v>569.18316831683182</v>
      </c>
      <c r="L113" s="269">
        <f>+'4. Input_Plan'!L145/-'4. Input_Plan'!L60*365</f>
        <v>591.72507597294396</v>
      </c>
      <c r="M113" s="269">
        <f>+'4. Input_Plan'!M145/-'4. Input_Plan'!M60*365</f>
        <v>615.15973244712006</v>
      </c>
      <c r="N113" s="269">
        <f>+'4. Input_Plan'!N145/-'4. Input_Plan'!N60*365</f>
        <v>639.52249412819413</v>
      </c>
      <c r="O113" s="269">
        <f>+'4. Input_Plan'!O145/-'4. Input_Plan'!O60*365</f>
        <v>664.85011765802358</v>
      </c>
      <c r="P113" s="32">
        <f ca="1">+'4. Input_Plan'!P145/-'4. Input_Plan'!P60*365</f>
        <v>664.85011765802358</v>
      </c>
    </row>
    <row r="114" spans="3:21" hidden="1" x14ac:dyDescent="0.25">
      <c r="C114" s="8" t="s">
        <v>580</v>
      </c>
      <c r="D114" s="275" t="s">
        <v>232</v>
      </c>
      <c r="E114" s="8"/>
      <c r="F114" s="8"/>
      <c r="G114" s="276">
        <f t="shared" ref="G114:P114" si="0">+G111+G112-G113</f>
        <v>273.75000000000011</v>
      </c>
      <c r="H114" s="276">
        <f t="shared" si="0"/>
        <v>273.75000000000011</v>
      </c>
      <c r="I114" s="276">
        <f t="shared" si="0"/>
        <v>273.75</v>
      </c>
      <c r="J114" s="276">
        <f t="shared" si="0"/>
        <v>273.75</v>
      </c>
      <c r="K114" s="270">
        <f t="shared" si="0"/>
        <v>280.97772277227716</v>
      </c>
      <c r="L114" s="270">
        <f t="shared" si="0"/>
        <v>288.49169199098139</v>
      </c>
      <c r="M114" s="270">
        <f t="shared" si="0"/>
        <v>296.30324414903998</v>
      </c>
      <c r="N114" s="270">
        <f t="shared" si="0"/>
        <v>304.42416470939781</v>
      </c>
      <c r="O114" s="270">
        <f t="shared" si="0"/>
        <v>312.86670588600771</v>
      </c>
      <c r="P114" s="276">
        <f t="shared" ca="1" si="0"/>
        <v>312.86670588600771</v>
      </c>
      <c r="S114" s="325" t="s">
        <v>558</v>
      </c>
      <c r="T114" s="326"/>
      <c r="U114" s="327"/>
    </row>
    <row r="116" spans="3:21" hidden="1" x14ac:dyDescent="0.25">
      <c r="C116" s="102" t="s">
        <v>238</v>
      </c>
    </row>
    <row r="117" spans="3:21" hidden="1" x14ac:dyDescent="0.25">
      <c r="C117" s="2" t="s">
        <v>241</v>
      </c>
      <c r="G117" s="32">
        <f>('4. Input_Plan'!G143+'4. Input_Plan'!G154+'4. Input_Plan'!G156)/('4. Input_Plan'!G69+SUM('4. Input_Plan'!G76:G83))</f>
        <v>0.59130777569725057</v>
      </c>
      <c r="H117" s="32">
        <f>('4. Input_Plan'!H143+'4. Input_Plan'!H154+'4. Input_Plan'!H156)/('4. Input_Plan'!H69+SUM('4. Input_Plan'!H76:H83))</f>
        <v>0.59130777569725057</v>
      </c>
      <c r="I117" s="32">
        <f>('4. Input_Plan'!I143+'4. Input_Plan'!I154+'4. Input_Plan'!I156)/('4. Input_Plan'!I69+SUM('4. Input_Plan'!I76:I83))</f>
        <v>0.43719032352083936</v>
      </c>
      <c r="J117" s="32">
        <f>('4. Input_Plan'!J143+'4. Input_Plan'!J154+'4. Input_Plan'!J156)/('4. Input_Plan'!J69+SUM('4. Input_Plan'!J76:J83))</f>
        <v>0.42366897330885456</v>
      </c>
      <c r="K117" s="269">
        <f ca="1">('4. Input_Plan'!K143+'4. Input_Plan'!K154+'4. Input_Plan'!K156)/('4. Input_Plan'!K69+SUM('4. Input_Plan'!K76:K83))</f>
        <v>2.2425720501006614</v>
      </c>
      <c r="L117" s="269">
        <f ca="1">('4. Input_Plan'!L143+'4. Input_Plan'!L154+'4. Input_Plan'!L156)/('4. Input_Plan'!L69+SUM('4. Input_Plan'!L76:L83))</f>
        <v>2.037571997146943</v>
      </c>
      <c r="M117" s="269">
        <f ca="1">('4. Input_Plan'!M143+'4. Input_Plan'!M154+'4. Input_Plan'!M156)/('4. Input_Plan'!M69+SUM('4. Input_Plan'!M76:M83))</f>
        <v>1.8577218269728206</v>
      </c>
      <c r="N117" s="269">
        <f ca="1">('4. Input_Plan'!N143+'4. Input_Plan'!N154+'4. Input_Plan'!N156)/('4. Input_Plan'!N69+SUM('4. Input_Plan'!N76:N83))</f>
        <v>1.6989544630883315</v>
      </c>
      <c r="O117" s="269">
        <f ca="1">('4. Input_Plan'!O143+'4. Input_Plan'!O154+'4. Input_Plan'!O156)/('4. Input_Plan'!O69+SUM('4. Input_Plan'!O76:O83))</f>
        <v>1.5580249288442511</v>
      </c>
      <c r="P117" s="32">
        <f ca="1">('4. Input_Plan'!P143+'4. Input_Plan'!P154+'4. Input_Plan'!P156)/('4. Input_Plan'!P69+SUM('4. Input_Plan'!P76:P83))</f>
        <v>1.5696963084405418</v>
      </c>
      <c r="S117" s="325" t="s">
        <v>558</v>
      </c>
      <c r="T117" s="326"/>
      <c r="U117" s="327"/>
    </row>
    <row r="118" spans="3:21" hidden="1" x14ac:dyDescent="0.25">
      <c r="C118" s="2" t="s">
        <v>240</v>
      </c>
      <c r="G118" s="32">
        <f>+('4. Input_Plan'!G143+'4. Input_Plan'!G154+'4. Input_Plan'!G156)/'4. Input_Plan'!G132</f>
        <v>1.2224938875305631</v>
      </c>
      <c r="H118" s="32">
        <f>+('4. Input_Plan'!H143+'4. Input_Plan'!H154+'4. Input_Plan'!H156)/'4. Input_Plan'!H132</f>
        <v>0.54466230936819204</v>
      </c>
      <c r="I118" s="32">
        <f>+('4. Input_Plan'!I143+'4. Input_Plan'!I154+'4. Input_Plan'!I156)/'4. Input_Plan'!I132</f>
        <v>0.29481132075471705</v>
      </c>
      <c r="J118" s="32">
        <f>+('4. Input_Plan'!J143+'4. Input_Plan'!J154+'4. Input_Plan'!J156)/'4. Input_Plan'!J132</f>
        <v>0.19920318725099601</v>
      </c>
      <c r="K118" s="269">
        <f ca="1">+('4. Input_Plan'!K143+'4. Input_Plan'!K154+'4. Input_Plan'!K156)/'4. Input_Plan'!K132</f>
        <v>1.1650682982356293</v>
      </c>
      <c r="L118" s="269">
        <f ca="1">+('4. Input_Plan'!L143+'4. Input_Plan'!L154+'4. Input_Plan'!L156)/'4. Input_Plan'!L132</f>
        <v>1.046228073145629</v>
      </c>
      <c r="M118" s="269">
        <f ca="1">+('4. Input_Plan'!M143+'4. Input_Plan'!M154+'4. Input_Plan'!M156)/'4. Input_Plan'!M132</f>
        <v>0.97119826794811193</v>
      </c>
      <c r="N118" s="269">
        <f ca="1">+('4. Input_Plan'!N143+'4. Input_Plan'!N154+'4. Input_Plan'!N156)/'4. Input_Plan'!N132</f>
        <v>0.92707612765795044</v>
      </c>
      <c r="O118" s="269">
        <f ca="1">+('4. Input_Plan'!O143+'4. Input_Plan'!O154+'4. Input_Plan'!O156)/'4. Input_Plan'!O132</f>
        <v>0.90778265511619272</v>
      </c>
      <c r="P118" s="32">
        <f ca="1">+('4. Input_Plan'!P143+'4. Input_Plan'!P154+'4. Input_Plan'!P156)/'4. Input_Plan'!P132</f>
        <v>0.92391534327603619</v>
      </c>
    </row>
    <row r="119" spans="3:21" hidden="1" x14ac:dyDescent="0.25">
      <c r="C119" s="2" t="s">
        <v>242</v>
      </c>
      <c r="G119" s="32">
        <f>('4. Input_Plan'!G138+'4. Input_Plan'!G143+'4. Input_Plan'!G148+'4. Input_Plan'!G154+'4. Input_Plan'!G156)/('4. Input_Plan'!G69+SUM('4. Input_Plan'!G76:G83))</f>
        <v>1.1392529811767029</v>
      </c>
      <c r="H119" s="32">
        <f>('4. Input_Plan'!H138+'4. Input_Plan'!H143+'4. Input_Plan'!H148+'4. Input_Plan'!H154+'4. Input_Plan'!H156)/('4. Input_Plan'!H69+SUM('4. Input_Plan'!H76:H83))</f>
        <v>1.1392529811767029</v>
      </c>
      <c r="I119" s="32">
        <f>('4. Input_Plan'!I138+'4. Input_Plan'!I143+'4. Input_Plan'!I148+'4. Input_Plan'!I154+'4. Input_Plan'!I156)/('4. Input_Plan'!I69+SUM('4. Input_Plan'!I76:I83))</f>
        <v>0.98513552900029155</v>
      </c>
      <c r="J119" s="32">
        <f>('4. Input_Plan'!J138+'4. Input_Plan'!J143+'4. Input_Plan'!J148+'4. Input_Plan'!J154+'4. Input_Plan'!J156)/('4. Input_Plan'!J69+SUM('4. Input_Plan'!J76:J83))</f>
        <v>0.97161417878830647</v>
      </c>
      <c r="K119" s="269">
        <f ca="1">('4. Input_Plan'!K138+'4. Input_Plan'!K143+'4. Input_Plan'!K148+'4. Input_Plan'!K154+'4. Input_Plan'!K156)/('4. Input_Plan'!K69+SUM('4. Input_Plan'!K76:K83))</f>
        <v>2.7632762405296223</v>
      </c>
      <c r="L119" s="269">
        <f ca="1">('4. Input_Plan'!L138+'4. Input_Plan'!L143+'4. Input_Plan'!L148+'4. Input_Plan'!L154+'4. Input_Plan'!L156)/('4. Input_Plan'!L69+SUM('4. Input_Plan'!L76:L83))</f>
        <v>2.5343323536429012</v>
      </c>
      <c r="M119" s="269">
        <f ca="1">('4. Input_Plan'!M138+'4. Input_Plan'!M143+'4. Input_Plan'!M148+'4. Input_Plan'!M154+'4. Input_Plan'!M156)/('4. Input_Plan'!M69+SUM('4. Input_Plan'!M76:M83))</f>
        <v>2.3332803280937644</v>
      </c>
      <c r="N119" s="269">
        <f ca="1">('4. Input_Plan'!N138+'4. Input_Plan'!N143+'4. Input_Plan'!N148+'4. Input_Plan'!N154+'4. Input_Plan'!N156)/('4. Input_Plan'!N69+SUM('4. Input_Plan'!N76:N83))</f>
        <v>2.1556158628299564</v>
      </c>
      <c r="O119" s="269">
        <f ca="1">('4. Input_Plan'!O138+'4. Input_Plan'!O143+'4. Input_Plan'!O148+'4. Input_Plan'!O154+'4. Input_Plan'!O156)/('4. Input_Plan'!O69+SUM('4. Input_Plan'!O76:O83))</f>
        <v>1.9977449762681692</v>
      </c>
      <c r="P119" s="32">
        <f ca="1">('4. Input_Plan'!P138+'4. Input_Plan'!P143+'4. Input_Plan'!P148+'4. Input_Plan'!P154+'4. Input_Plan'!P156)/('4. Input_Plan'!P69+SUM('4. Input_Plan'!P76:P83))</f>
        <v>2.0094163558644595</v>
      </c>
    </row>
    <row r="121" spans="3:21" hidden="1" x14ac:dyDescent="0.25">
      <c r="C121" s="102" t="s">
        <v>237</v>
      </c>
    </row>
    <row r="122" spans="3:21" hidden="1" x14ac:dyDescent="0.25">
      <c r="C122" s="2" t="s">
        <v>243</v>
      </c>
      <c r="D122" s="6" t="s">
        <v>304</v>
      </c>
      <c r="G122" s="32">
        <f>('4. Input_Plan'!G69+SUM('4. Input_Plan'!G76:G83))/-'4. Input_Plan'!G88</f>
        <v>72.999999999999972</v>
      </c>
      <c r="H122" s="32">
        <f>('4. Input_Plan'!H69+SUM('4. Input_Plan'!H76:H83))/-'4. Input_Plan'!H88</f>
        <v>72.999999999999972</v>
      </c>
      <c r="I122" s="32">
        <f>('4. Input_Plan'!I69+SUM('4. Input_Plan'!I76:I83))/-'4. Input_Plan'!I88</f>
        <v>73</v>
      </c>
      <c r="J122" s="32">
        <f>('4. Input_Plan'!J69+SUM('4. Input_Plan'!J76:J83))/-'4. Input_Plan'!J88</f>
        <v>73.000000000000014</v>
      </c>
      <c r="K122" s="269">
        <f>('4. Input_Plan'!K69+SUM('4. Input_Plan'!K76:K83))/-'4. Input_Plan'!K88</f>
        <v>52.160133333333327</v>
      </c>
      <c r="L122" s="269">
        <f ca="1">('4. Input_Plan'!L69+SUM('4. Input_Plan'!L76:L83))/-'4. Input_Plan'!L88</f>
        <v>9.8156040758336278</v>
      </c>
      <c r="M122" s="269">
        <f ca="1">('4. Input_Plan'!M69+SUM('4. Input_Plan'!M76:M83))/-'4. Input_Plan'!M88</f>
        <v>10.765874475722898</v>
      </c>
      <c r="N122" s="269">
        <f ca="1">('4. Input_Plan'!N69+SUM('4. Input_Plan'!N76:N83))/-'4. Input_Plan'!N88</f>
        <v>11.771945884673286</v>
      </c>
      <c r="O122" s="269">
        <f ca="1">('4. Input_Plan'!O69+SUM('4. Input_Plan'!O76:O83))/-'4. Input_Plan'!O88</f>
        <v>12.836765079770633</v>
      </c>
      <c r="P122" s="32">
        <f ca="1">('4. Input_Plan'!P69+SUM('4. Input_Plan'!P76:P83))/-'4. Input_Plan'!P88</f>
        <v>13.029316555967185</v>
      </c>
      <c r="S122" s="325" t="s">
        <v>558</v>
      </c>
      <c r="T122" s="326"/>
      <c r="U122" s="327"/>
    </row>
    <row r="123" spans="3:21" hidden="1" x14ac:dyDescent="0.25">
      <c r="C123" s="2" t="s">
        <v>244</v>
      </c>
      <c r="D123" s="6" t="s">
        <v>304</v>
      </c>
      <c r="G123" s="32">
        <f>('4. Input_Plan'!G69+SUM('4. Input_Plan'!G76:G83)-'4. Input_Plan'!G101)/-'4. Input_Plan'!G88</f>
        <v>72.999999999999972</v>
      </c>
      <c r="H123" s="32">
        <f>('4. Input_Plan'!H69+SUM('4. Input_Plan'!H76:H83)-'4. Input_Plan'!H101)/-'4. Input_Plan'!H88</f>
        <v>51.41726618705033</v>
      </c>
      <c r="I123" s="32">
        <f>('4. Input_Plan'!I69+SUM('4. Input_Plan'!I76:I83)-'4. Input_Plan'!I101)/-'4. Input_Plan'!I88</f>
        <v>57.042553191489361</v>
      </c>
      <c r="J123" s="32">
        <f>('4. Input_Plan'!J69+SUM('4. Input_Plan'!J76:J83)-'4. Input_Plan'!J101)/-'4. Input_Plan'!J88</f>
        <v>57.536082474226824</v>
      </c>
      <c r="K123" s="269">
        <f>('4. Input_Plan'!K69+SUM('4. Input_Plan'!K76:K83)-'4. Input_Plan'!K101)/-'4. Input_Plan'!K88</f>
        <v>25.00013333333332</v>
      </c>
      <c r="L123" s="269">
        <f ca="1">('4. Input_Plan'!L69+SUM('4. Input_Plan'!L76:L83)-'4. Input_Plan'!L101)/-'4. Input_Plan'!L88</f>
        <v>4.9396010958993344</v>
      </c>
      <c r="M123" s="269">
        <f ca="1">('4. Input_Plan'!M69+SUM('4. Input_Plan'!M76:M83)-'4. Input_Plan'!M101)/-'4. Input_Plan'!M88</f>
        <v>5.6460713467918886</v>
      </c>
      <c r="N123" s="269">
        <f ca="1">('4. Input_Plan'!N69+SUM('4. Input_Plan'!N76:N83)-'4. Input_Plan'!N101)/-'4. Input_Plan'!N88</f>
        <v>6.3961525992957267</v>
      </c>
      <c r="O123" s="269">
        <f ca="1">('4. Input_Plan'!O69+SUM('4. Input_Plan'!O76:O83)-'4. Input_Plan'!O101)/-'4. Input_Plan'!O88</f>
        <v>7.1921821301241931</v>
      </c>
      <c r="P123" s="32">
        <f ca="1">('4. Input_Plan'!P69+SUM('4. Input_Plan'!P76:P83)-'4. Input_Plan'!P101)/-'4. Input_Plan'!P88</f>
        <v>7.3000648620760522</v>
      </c>
    </row>
    <row r="124" spans="3:21" hidden="1" x14ac:dyDescent="0.25">
      <c r="C124" s="2" t="s">
        <v>303</v>
      </c>
      <c r="D124" s="6" t="s">
        <v>304</v>
      </c>
      <c r="G124" s="32">
        <f>+'3. Input_Historie'!G138/-'4. Input_Plan'!G88</f>
        <v>9.0503597122301844</v>
      </c>
      <c r="H124" s="32">
        <f>+'3. Input_Historie'!H138/-'4. Input_Plan'!H88</f>
        <v>56.892086330935228</v>
      </c>
      <c r="I124" s="32">
        <f>+'3. Input_Historie'!I138/-'4. Input_Plan'!I88</f>
        <v>46.202127659574465</v>
      </c>
      <c r="J124" s="32">
        <f>+'3. Input_Historie'!J138/-'4. Input_Plan'!J88</f>
        <v>58.082474226804152</v>
      </c>
      <c r="K124" s="269">
        <f>+'3. Input_Historie'!K138/-'4. Input_Plan'!K88</f>
        <v>0</v>
      </c>
      <c r="L124" s="269">
        <f ca="1">+'3. Input_Historie'!L138/-'4. Input_Plan'!L88</f>
        <v>0</v>
      </c>
      <c r="M124" s="269">
        <f ca="1">+'3. Input_Historie'!M138/-'4. Input_Plan'!M88</f>
        <v>0</v>
      </c>
      <c r="N124" s="269">
        <f ca="1">+'3. Input_Historie'!N138/-'4. Input_Plan'!N88</f>
        <v>0</v>
      </c>
      <c r="O124" s="269">
        <f ca="1">+'3. Input_Historie'!O138/-'4. Input_Plan'!O88</f>
        <v>0</v>
      </c>
      <c r="P124" s="32">
        <f ca="1">+'3. Input_Historie'!P138/-'4. Input_Plan'!P88</f>
        <v>0</v>
      </c>
    </row>
    <row r="126" spans="3:21" hidden="1" x14ac:dyDescent="0.25">
      <c r="C126" s="102" t="s">
        <v>294</v>
      </c>
    </row>
    <row r="127" spans="3:21" hidden="1" x14ac:dyDescent="0.25">
      <c r="C127" s="2" t="s">
        <v>295</v>
      </c>
      <c r="D127" s="96" t="s">
        <v>275</v>
      </c>
      <c r="G127" s="32">
        <f>+'4. Input_Plan'!G101</f>
        <v>0</v>
      </c>
      <c r="H127" s="32">
        <f>+'4. Input_Plan'!H101</f>
        <v>50</v>
      </c>
      <c r="I127" s="32">
        <f>+'4. Input_Plan'!I101</f>
        <v>50</v>
      </c>
      <c r="J127" s="32">
        <f>+'4. Input_Plan'!J101</f>
        <v>50</v>
      </c>
      <c r="K127" s="269">
        <f>+'4. Input_Plan'!K101</f>
        <v>135.80000000000004</v>
      </c>
      <c r="L127" s="269">
        <f>+'4. Input_Plan'!L101</f>
        <v>142.59000000000003</v>
      </c>
      <c r="M127" s="269">
        <f>+'4. Input_Plan'!M101</f>
        <v>149.71950000000004</v>
      </c>
      <c r="N127" s="269">
        <f>+'4. Input_Plan'!N101</f>
        <v>157.20547500000006</v>
      </c>
      <c r="O127" s="269">
        <f>+'4. Input_Plan'!O101</f>
        <v>165.06574875000007</v>
      </c>
      <c r="P127" s="32">
        <f ca="1">+'4. Input_Plan'!P101</f>
        <v>167.54173498125004</v>
      </c>
    </row>
    <row r="128" spans="3:21" hidden="1" x14ac:dyDescent="0.25">
      <c r="C128" s="2" t="s">
        <v>296</v>
      </c>
      <c r="D128" s="96" t="s">
        <v>41</v>
      </c>
      <c r="G128" s="268">
        <f>+G127/'4. Input_Plan'!G58</f>
        <v>0</v>
      </c>
      <c r="H128" s="268">
        <f>+H127/'4. Input_Plan'!H58</f>
        <v>0.1079136690647482</v>
      </c>
      <c r="I128" s="268">
        <f>+I127/'4. Input_Plan'!I58</f>
        <v>7.9787234042553182E-2</v>
      </c>
      <c r="J128" s="268">
        <f>+J127/'4. Input_Plan'!J58</f>
        <v>7.7319587628865968E-2</v>
      </c>
      <c r="K128" s="268">
        <f>+K127/'4. Input_Plan'!K58</f>
        <v>0.20000000000000004</v>
      </c>
      <c r="L128" s="268">
        <f>+L127/'4. Input_Plan'!L58</f>
        <v>0.2</v>
      </c>
      <c r="M128" s="268">
        <f>+M127/'4. Input_Plan'!M58</f>
        <v>0.2</v>
      </c>
      <c r="N128" s="268">
        <f>+N127/'4. Input_Plan'!N58</f>
        <v>0.2</v>
      </c>
      <c r="O128" s="268">
        <f>+O127/'4. Input_Plan'!O58</f>
        <v>0.2</v>
      </c>
      <c r="P128" s="268">
        <f ca="1">+P127/'4. Input_Plan'!P58</f>
        <v>0.2</v>
      </c>
    </row>
    <row r="129" spans="3:21" hidden="1" x14ac:dyDescent="0.25">
      <c r="C129" s="2" t="s">
        <v>147</v>
      </c>
      <c r="D129" s="96" t="s">
        <v>275</v>
      </c>
      <c r="G129" s="32">
        <f>-'4. Input_Plan'!G72</f>
        <v>30</v>
      </c>
      <c r="H129" s="32">
        <f>-'4. Input_Plan'!H72</f>
        <v>30</v>
      </c>
      <c r="I129" s="32">
        <f>-'4. Input_Plan'!I72</f>
        <v>30</v>
      </c>
      <c r="J129" s="32">
        <f>-'4. Input_Plan'!J72</f>
        <v>30</v>
      </c>
      <c r="K129" s="269">
        <f ca="1">-'4. Input_Plan'!K72</f>
        <v>73.685714285714283</v>
      </c>
      <c r="L129" s="269">
        <f ca="1">-'4. Input_Plan'!L72</f>
        <v>94.055714285714288</v>
      </c>
      <c r="M129" s="269">
        <f ca="1">-'4. Input_Plan'!M72</f>
        <v>115.4442142857143</v>
      </c>
      <c r="N129" s="269">
        <f ca="1">-'4. Input_Plan'!N72</f>
        <v>137.9021392857143</v>
      </c>
      <c r="O129" s="269">
        <f ca="1">-'4. Input_Plan'!O72</f>
        <v>161.48296053571431</v>
      </c>
      <c r="P129" s="32">
        <f ca="1">-'4. Input_Plan'!P72</f>
        <v>161.48296053571431</v>
      </c>
    </row>
    <row r="130" spans="3:21" hidden="1" x14ac:dyDescent="0.25">
      <c r="C130" s="2" t="s">
        <v>297</v>
      </c>
      <c r="D130" s="96" t="s">
        <v>275</v>
      </c>
      <c r="G130" s="32">
        <f t="shared" ref="G130:P130" si="1">+G127-G129</f>
        <v>-30</v>
      </c>
      <c r="H130" s="32">
        <f t="shared" si="1"/>
        <v>20</v>
      </c>
      <c r="I130" s="32">
        <f t="shared" si="1"/>
        <v>20</v>
      </c>
      <c r="J130" s="32">
        <f t="shared" si="1"/>
        <v>20</v>
      </c>
      <c r="K130" s="269">
        <f t="shared" ca="1" si="1"/>
        <v>62.114285714285757</v>
      </c>
      <c r="L130" s="269">
        <f t="shared" ca="1" si="1"/>
        <v>48.534285714285744</v>
      </c>
      <c r="M130" s="269">
        <f t="shared" ca="1" si="1"/>
        <v>34.275285714285744</v>
      </c>
      <c r="N130" s="269">
        <f t="shared" ca="1" si="1"/>
        <v>19.303335714285765</v>
      </c>
      <c r="O130" s="269">
        <f t="shared" ca="1" si="1"/>
        <v>3.5827882142857561</v>
      </c>
      <c r="P130" s="32">
        <f t="shared" ca="1" si="1"/>
        <v>6.0587744455357324</v>
      </c>
      <c r="S130" s="325" t="s">
        <v>558</v>
      </c>
      <c r="T130" s="326"/>
      <c r="U130" s="327"/>
    </row>
    <row r="131" spans="3:21" ht="5.0999999999999996" hidden="1" customHeight="1" x14ac:dyDescent="0.25"/>
    <row r="132" spans="3:21" hidden="1" x14ac:dyDescent="0.25">
      <c r="C132" s="2" t="s">
        <v>298</v>
      </c>
      <c r="D132" s="96" t="s">
        <v>275</v>
      </c>
      <c r="J132" s="32">
        <f>+'(AUSBLENDEN) Bewertung'!G28+'(AUSBLENDEN) Bewertung'!G30</f>
        <v>148.18947500000007</v>
      </c>
      <c r="K132" s="269">
        <f ca="1">+'(AUSBLENDEN) Bewertung'!H28+'(AUSBLENDEN) Bewertung'!H30</f>
        <v>134.58242949999999</v>
      </c>
      <c r="L132" s="269">
        <f ca="1">+'(AUSBLENDEN) Bewertung'!I28+'(AUSBLENDEN) Bewertung'!I30</f>
        <v>138.80381324000007</v>
      </c>
      <c r="M132" s="269">
        <f ca="1">+'(AUSBLENDEN) Bewertung'!J28+'(AUSBLENDEN) Bewertung'!J30</f>
        <v>143.40734476630007</v>
      </c>
      <c r="N132" s="269">
        <f ca="1">+'(AUSBLENDEN) Bewertung'!K28+'(AUSBLENDEN) Bewertung'!K30</f>
        <v>148.41536513374109</v>
      </c>
      <c r="O132" s="269">
        <f ca="1">+'(AUSBLENDEN) Bewertung'!L28+'(AUSBLENDEN) Bewertung'!L30</f>
        <v>153.85139524415214</v>
      </c>
      <c r="P132" s="32">
        <f ca="1">+'(AUSBLENDEN) Bewertung'!M28+'(AUSBLENDEN) Bewertung'!M30</f>
        <v>157.90136546329407</v>
      </c>
    </row>
    <row r="133" spans="3:21" hidden="1" x14ac:dyDescent="0.25">
      <c r="C133" s="2" t="s">
        <v>299</v>
      </c>
      <c r="D133" s="96" t="s">
        <v>41</v>
      </c>
      <c r="J133" s="87"/>
      <c r="K133" s="268">
        <f ca="1">+K132/J132-1</f>
        <v>-9.1821942820163649E-2</v>
      </c>
      <c r="L133" s="268">
        <f ca="1">+L132/K132-1</f>
        <v>3.1366529462154569E-2</v>
      </c>
      <c r="M133" s="268">
        <f ca="1">+M132/L132-1</f>
        <v>3.3165742488214134E-2</v>
      </c>
      <c r="N133" s="268">
        <f ca="1">+N132/M132-1</f>
        <v>3.4921644882291103E-2</v>
      </c>
      <c r="O133" s="268">
        <f ca="1">+O132/N132-1</f>
        <v>3.6627138339163867E-2</v>
      </c>
      <c r="P133" s="268">
        <f ca="1">+P132/+OFFSET(J132,,'2. Input_Allgemein'!$E$36)-1</f>
        <v>2.6323909592856687E-2</v>
      </c>
    </row>
    <row r="134" spans="3:21" hidden="1" x14ac:dyDescent="0.25">
      <c r="C134" s="2" t="s">
        <v>300</v>
      </c>
      <c r="D134" s="96" t="s">
        <v>275</v>
      </c>
      <c r="J134" s="87"/>
      <c r="K134" s="269">
        <f ca="1">+'(AUSBLENDEN) Bewertung'!H36</f>
        <v>64.384810452380833</v>
      </c>
      <c r="L134" s="269">
        <f ca="1">+'(AUSBLENDEN) Bewertung'!I36</f>
        <v>81.782027525714312</v>
      </c>
      <c r="M134" s="269">
        <f ca="1">+'(AUSBLENDEN) Bewertung'!J36</f>
        <v>100.2201840520143</v>
      </c>
      <c r="N134" s="269">
        <f ca="1">+'(AUSBLENDEN) Bewertung'!K36</f>
        <v>119.75456066945534</v>
      </c>
      <c r="O134" s="269">
        <f ca="1">+'(AUSBLENDEN) Bewertung'!L36</f>
        <v>140.44326484236643</v>
      </c>
      <c r="P134" s="32">
        <f ca="1">+'(AUSBLENDEN) Bewertung'!M36</f>
        <v>148.74760822869587</v>
      </c>
    </row>
    <row r="135" spans="3:21" hidden="1" x14ac:dyDescent="0.25">
      <c r="C135" s="2" t="s">
        <v>301</v>
      </c>
      <c r="D135" s="96" t="s">
        <v>275</v>
      </c>
      <c r="J135" s="87"/>
      <c r="K135" s="269">
        <f ca="1">-SUM('(AUSBLENDEN) Bewertung'!H32:H34)</f>
        <v>70.197619047619156</v>
      </c>
      <c r="L135" s="269">
        <f ca="1">-SUM('(AUSBLENDEN) Bewertung'!I32:I34)</f>
        <v>57.021785714285755</v>
      </c>
      <c r="M135" s="269">
        <f ca="1">-SUM('(AUSBLENDEN) Bewertung'!J32:J34)</f>
        <v>43.187160714285753</v>
      </c>
      <c r="N135" s="269">
        <f ca="1">-SUM('(AUSBLENDEN) Bewertung'!K32:K34)</f>
        <v>28.660804464285775</v>
      </c>
      <c r="O135" s="269">
        <f ca="1">-SUM('(AUSBLENDEN) Bewertung'!L32:L34)</f>
        <v>13.408130401785684</v>
      </c>
      <c r="P135" s="32">
        <f ca="1">-SUM('(AUSBLENDEN) Bewertung'!M32:M34)</f>
        <v>9.1537572345982312</v>
      </c>
    </row>
    <row r="136" spans="3:21" hidden="1" x14ac:dyDescent="0.25">
      <c r="C136" s="2" t="s">
        <v>301</v>
      </c>
      <c r="D136" s="96" t="s">
        <v>41</v>
      </c>
      <c r="J136" s="87"/>
      <c r="K136" s="268">
        <f t="shared" ref="K136:P136" ca="1" si="2">+K135/K132</f>
        <v>0.52159571876074029</v>
      </c>
      <c r="L136" s="268">
        <f t="shared" ca="1" si="2"/>
        <v>0.41080849569810945</v>
      </c>
      <c r="M136" s="268">
        <f t="shared" ca="1" si="2"/>
        <v>0.30115027082235257</v>
      </c>
      <c r="N136" s="268">
        <f t="shared" ca="1" si="2"/>
        <v>0.1931121109897129</v>
      </c>
      <c r="O136" s="268">
        <f t="shared" ca="1" si="2"/>
        <v>8.7149878494815425E-2</v>
      </c>
      <c r="P136" s="268">
        <f t="shared" ca="1" si="2"/>
        <v>5.7971362107860455E-2</v>
      </c>
    </row>
    <row r="137" spans="3:21" ht="5.0999999999999996" hidden="1" customHeight="1" x14ac:dyDescent="0.25"/>
    <row r="138" spans="3:21" hidden="1" x14ac:dyDescent="0.25">
      <c r="C138" s="8" t="s">
        <v>302</v>
      </c>
      <c r="D138" s="98" t="s">
        <v>41</v>
      </c>
      <c r="E138" s="8"/>
      <c r="J138" s="88"/>
      <c r="K138" s="271">
        <f t="shared" ref="K138:M138" ca="1" si="3">+K133/K136</f>
        <v>-0.1760404457274371</v>
      </c>
      <c r="L138" s="271">
        <f t="shared" ca="1" si="3"/>
        <v>7.6353166476880424E-2</v>
      </c>
      <c r="M138" s="271">
        <f t="shared" ca="1" si="3"/>
        <v>0.11013020973764451</v>
      </c>
      <c r="N138" s="271">
        <f ca="1">+N133/N136</f>
        <v>0.18083612003056287</v>
      </c>
      <c r="O138" s="271">
        <f ca="1">+O133/O136</f>
        <v>0.42027756058596027</v>
      </c>
      <c r="P138" s="271">
        <f t="shared" ref="P138" ca="1" si="4">+P133/P136</f>
        <v>0.45408471762107128</v>
      </c>
      <c r="S138" s="325" t="s">
        <v>558</v>
      </c>
      <c r="T138" s="326"/>
      <c r="U138" s="327"/>
    </row>
    <row r="139" spans="3:21" hidden="1" x14ac:dyDescent="0.25">
      <c r="F139" s="59"/>
      <c r="G139" s="59"/>
      <c r="H139" s="59"/>
      <c r="I139" s="59"/>
      <c r="J139" s="59"/>
      <c r="K139" s="59"/>
      <c r="L139" s="59"/>
      <c r="M139" s="59"/>
      <c r="N139" s="59"/>
      <c r="O139" s="59"/>
      <c r="P139" s="59"/>
    </row>
    <row r="140" spans="3:21" hidden="1" x14ac:dyDescent="0.25">
      <c r="C140" s="102" t="s">
        <v>245</v>
      </c>
    </row>
    <row r="141" spans="3:21" hidden="1" x14ac:dyDescent="0.25">
      <c r="C141" s="2" t="s">
        <v>246</v>
      </c>
      <c r="D141" s="96" t="s">
        <v>41</v>
      </c>
      <c r="G141" s="87"/>
      <c r="H141" s="26">
        <f>+'4. Input_Plan'!H84/(('4. Input_Plan'!H121+'4. Input_Plan'!G121)/2)</f>
        <v>0.4275688966294437</v>
      </c>
      <c r="I141" s="26">
        <f>+'4. Input_Plan'!I84/(('4. Input_Plan'!I121+'4. Input_Plan'!H121)/2)</f>
        <v>0.42247732426303869</v>
      </c>
      <c r="J141" s="26">
        <f>+'4. Input_Plan'!J84/(('4. Input_Plan'!J121+'4. Input_Plan'!I121)/2)</f>
        <v>0.31798538944335852</v>
      </c>
      <c r="K141" s="26">
        <f ca="1">+'4. Input_Plan'!K84/(('4. Input_Plan'!K121+'4. Input_Plan'!J121)/2)</f>
        <v>0.19152014368589909</v>
      </c>
      <c r="L141" s="26">
        <f ca="1">+'4. Input_Plan'!L84/(('4. Input_Plan'!L121+'4. Input_Plan'!K121)/2)</f>
        <v>0.15382487352550414</v>
      </c>
      <c r="M141" s="26">
        <f ca="1">+'4. Input_Plan'!M84/(('4. Input_Plan'!M121+'4. Input_Plan'!L121)/2)</f>
        <v>0.15201229832756896</v>
      </c>
      <c r="N141" s="26">
        <f ca="1">+'4. Input_Plan'!N84/(('4. Input_Plan'!N121+'4. Input_Plan'!M121)/2)</f>
        <v>0.15230094947983114</v>
      </c>
      <c r="O141" s="26">
        <f ca="1">+'4. Input_Plan'!O84/(('4. Input_Plan'!O121+'4. Input_Plan'!N121)/2)</f>
        <v>0.15460348032919938</v>
      </c>
      <c r="P141" s="26">
        <f ca="1">+'4. Input_Plan'!P84/(('4. Input_Plan'!P121+'4. Input_Plan'!O121)/2)</f>
        <v>0.15641096943894364</v>
      </c>
    </row>
    <row r="142" spans="3:21" ht="5.0999999999999996" hidden="1" customHeight="1" x14ac:dyDescent="0.25"/>
    <row r="143" spans="3:21" hidden="1" x14ac:dyDescent="0.25">
      <c r="C143" s="67" t="s">
        <v>249</v>
      </c>
      <c r="D143" s="96" t="s">
        <v>41</v>
      </c>
      <c r="G143" s="26">
        <f>+G107</f>
        <v>0.23050359712230203</v>
      </c>
      <c r="H143" s="26">
        <f t="shared" ref="H143:P143" si="5">+H107</f>
        <v>0.21971223021582723</v>
      </c>
      <c r="I143" s="26">
        <f t="shared" si="5"/>
        <v>0.24829787234042555</v>
      </c>
      <c r="J143" s="26">
        <f t="shared" si="5"/>
        <v>0.25175257731958772</v>
      </c>
      <c r="K143" s="26">
        <f t="shared" ca="1" si="5"/>
        <v>0.19291042636229744</v>
      </c>
      <c r="L143" s="26">
        <f t="shared" ca="1" si="5"/>
        <v>0.16518778506907925</v>
      </c>
      <c r="M143" s="26">
        <f t="shared" ca="1" si="5"/>
        <v>0.16347124174379429</v>
      </c>
      <c r="N143" s="26">
        <f t="shared" ca="1" si="5"/>
        <v>0.16205820218251438</v>
      </c>
      <c r="O143" s="26">
        <f t="shared" ca="1" si="5"/>
        <v>0.16092764777060037</v>
      </c>
      <c r="P143" s="26">
        <f t="shared" ca="1" si="5"/>
        <v>0.16338398740303275</v>
      </c>
    </row>
    <row r="144" spans="3:21" hidden="1" x14ac:dyDescent="0.25">
      <c r="C144" s="67" t="s">
        <v>250</v>
      </c>
      <c r="D144" s="96" t="s">
        <v>233</v>
      </c>
      <c r="G144" s="104">
        <f>+G110</f>
        <v>0</v>
      </c>
      <c r="H144" s="104">
        <f t="shared" ref="H144:P144" si="6">+H110</f>
        <v>1.4240344227025925</v>
      </c>
      <c r="I144" s="104">
        <f t="shared" si="6"/>
        <v>1.3321995464852614</v>
      </c>
      <c r="J144" s="104">
        <f t="shared" si="6"/>
        <v>0.99804506636485257</v>
      </c>
      <c r="K144" s="104">
        <f t="shared" ca="1" si="6"/>
        <v>0.69498549371922524</v>
      </c>
      <c r="L144" s="104">
        <f t="shared" ca="1" si="6"/>
        <v>0.56828227880550453</v>
      </c>
      <c r="M144" s="104">
        <f t="shared" ca="1" si="6"/>
        <v>0.57073640259879421</v>
      </c>
      <c r="N144" s="104">
        <f t="shared" ca="1" si="6"/>
        <v>0.58015132440703165</v>
      </c>
      <c r="O144" s="104">
        <f t="shared" ca="1" si="6"/>
        <v>0.59651953169375938</v>
      </c>
      <c r="P144" s="104">
        <f t="shared" ca="1" si="6"/>
        <v>0.59683489302114279</v>
      </c>
    </row>
    <row r="145" spans="1:21" hidden="1" x14ac:dyDescent="0.25">
      <c r="C145" s="67" t="s">
        <v>251</v>
      </c>
      <c r="D145" s="96" t="s">
        <v>41</v>
      </c>
      <c r="G145" s="87"/>
      <c r="H145" s="107">
        <f>+(('4. Input_Plan'!H121+'4. Input_Plan'!G121)/2)/(('4. Input_Plan'!H132+'4. Input_Plan'!G132)/2)</f>
        <v>2.4518965084149715</v>
      </c>
      <c r="I145" s="107">
        <f>+(('4. Input_Plan'!I121+'4. Input_Plan'!H121)/2)/(('4. Input_Plan'!I132+'4. Input_Plan'!H132)/2)</f>
        <v>1.799540933435348</v>
      </c>
      <c r="J145" s="107">
        <f>+(('4. Input_Plan'!J121+'4. Input_Plan'!I121)/2)/(('4. Input_Plan'!J132+'4. Input_Plan'!I132)/2)</f>
        <v>1.5404977016959898</v>
      </c>
      <c r="K145" s="107">
        <f ca="1">+(('4. Input_Plan'!K121+'4. Input_Plan'!J121)/2)/(('4. Input_Plan'!K132+'4. Input_Plan'!J132)/2)</f>
        <v>1.9462127679757162</v>
      </c>
      <c r="L145" s="107">
        <f ca="1">+(('4. Input_Plan'!L121+'4. Input_Plan'!K121)/2)/(('4. Input_Plan'!L132+'4. Input_Plan'!K132)/2)</f>
        <v>2.3648339656416106</v>
      </c>
      <c r="M145" s="107">
        <f ca="1">+(('4. Input_Plan'!M121+'4. Input_Plan'!L121)/2)/(('4. Input_Plan'!M132+'4. Input_Plan'!L132)/2)</f>
        <v>2.2590418346323173</v>
      </c>
      <c r="N145" s="107">
        <f ca="1">+(('4. Input_Plan'!N121+'4. Input_Plan'!M121)/2)/(('4. Input_Plan'!N132+'4. Input_Plan'!M132)/2)</f>
        <v>2.1975339040697501</v>
      </c>
      <c r="O145" s="107">
        <f ca="1">+(('4. Input_Plan'!O121+'4. Input_Plan'!N121)/2)/(('4. Input_Plan'!O132+'4. Input_Plan'!N132)/2)</f>
        <v>2.1700604365465237</v>
      </c>
      <c r="P145" s="107">
        <f ca="1">+(('4. Input_Plan'!P121+'4. Input_Plan'!O121)/2)/(('4. Input_Plan'!P132+'4. Input_Plan'!O132)/2)</f>
        <v>2.1733810626103427</v>
      </c>
    </row>
    <row r="146" spans="1:21" hidden="1" x14ac:dyDescent="0.25">
      <c r="C146" s="35" t="s">
        <v>252</v>
      </c>
      <c r="D146" s="109" t="s">
        <v>41</v>
      </c>
      <c r="E146" s="35"/>
      <c r="F146" s="35"/>
      <c r="G146" s="87"/>
      <c r="H146" s="108">
        <f>+'4. Input_Plan'!H93/(('4. Input_Plan'!H132+'4. Input_Plan'!G132)/2)</f>
        <v>0.76714393368500378</v>
      </c>
      <c r="I146" s="108">
        <f>+'4. Input_Plan'!I93/(('4. Input_Plan'!I132+'4. Input_Plan'!H132)/2)</f>
        <v>0.5952563121652642</v>
      </c>
      <c r="J146" s="108">
        <f>+'4. Input_Plan'!J93/(('4. Input_Plan'!J132+'4. Input_Plan'!I132)/2)</f>
        <v>0.38706609605325754</v>
      </c>
      <c r="K146" s="108">
        <f ca="1">+'4. Input_Plan'!K93/(('4. Input_Plan'!K132+'4. Input_Plan'!J132)/2)</f>
        <v>0.26092864442231073</v>
      </c>
      <c r="L146" s="108">
        <f ca="1">+'4. Input_Plan'!L93/(('4. Input_Plan'!L132+'4. Input_Plan'!K132)/2)</f>
        <v>0.22199474685756096</v>
      </c>
      <c r="M146" s="108">
        <f ca="1">+'4. Input_Plan'!M93/(('4. Input_Plan'!M132+'4. Input_Plan'!L132)/2)</f>
        <v>0.21076631801757267</v>
      </c>
      <c r="N146" s="108">
        <f ca="1">+'4. Input_Plan'!N93/(('4. Input_Plan'!N132+'4. Input_Plan'!M132)/2)</f>
        <v>0.20660835928063429</v>
      </c>
      <c r="O146" s="108">
        <f ca="1">+'4. Input_Plan'!O93/(('4. Input_Plan'!O132+'4. Input_Plan'!N132)/2)</f>
        <v>0.20831817432982899</v>
      </c>
      <c r="P146" s="108">
        <f ca="1">+'4. Input_Plan'!P93/(('4. Input_Plan'!P132+'4. Input_Plan'!O132)/2)</f>
        <v>0.21193348272853035</v>
      </c>
      <c r="S146" s="325" t="s">
        <v>558</v>
      </c>
      <c r="T146" s="326"/>
      <c r="U146" s="327"/>
    </row>
    <row r="148" spans="1:21" ht="15" hidden="1" customHeight="1" x14ac:dyDescent="0.25"/>
    <row r="149" spans="1:21" ht="15" hidden="1" customHeight="1" x14ac:dyDescent="0.25"/>
    <row r="150" spans="1:21" s="3" customFormat="1" ht="27" hidden="1" thickBot="1" x14ac:dyDescent="0.45">
      <c r="A150" s="3" t="s">
        <v>581</v>
      </c>
      <c r="D150" s="97"/>
    </row>
    <row r="151" spans="1:21" ht="15" hidden="1" customHeight="1" x14ac:dyDescent="0.25"/>
    <row r="152" spans="1:21" ht="15" hidden="1" customHeight="1" x14ac:dyDescent="0.25"/>
    <row r="174" spans="3:14" ht="22.5" hidden="1" x14ac:dyDescent="0.35">
      <c r="C174" s="5" t="s">
        <v>17</v>
      </c>
    </row>
    <row r="175" spans="3:14" ht="15" hidden="1" customHeight="1" x14ac:dyDescent="0.35">
      <c r="C175" s="179"/>
      <c r="D175" s="152"/>
      <c r="E175" s="94"/>
      <c r="F175" s="94"/>
      <c r="G175" s="94"/>
      <c r="H175" s="102" t="s">
        <v>323</v>
      </c>
      <c r="I175" s="180">
        <v>1</v>
      </c>
      <c r="J175" s="180">
        <v>2</v>
      </c>
      <c r="K175" s="180">
        <v>3</v>
      </c>
      <c r="L175" s="180">
        <v>4</v>
      </c>
      <c r="M175" s="180">
        <v>5</v>
      </c>
      <c r="N175" s="181" t="s">
        <v>324</v>
      </c>
    </row>
    <row r="176" spans="3:14" hidden="1" x14ac:dyDescent="0.25">
      <c r="C176" s="2" t="s">
        <v>317</v>
      </c>
      <c r="D176" s="182">
        <f>SUM(+'2. Input_Allgemein'!S49+'2. Input_Allgemein'!S50)/COUNT('2. Input_Allgemein'!S50,'2. Input_Allgemein'!S49)/5</f>
        <v>0.2</v>
      </c>
      <c r="H176" s="177" t="s">
        <v>325</v>
      </c>
      <c r="I176" s="356">
        <f>+D176</f>
        <v>0.2</v>
      </c>
      <c r="J176" s="357"/>
      <c r="K176" s="357"/>
      <c r="L176" s="357"/>
      <c r="M176" s="358"/>
      <c r="N176" s="2" t="s">
        <v>326</v>
      </c>
    </row>
    <row r="177" spans="3:14" hidden="1" x14ac:dyDescent="0.25">
      <c r="H177" s="177"/>
      <c r="I177" s="256"/>
      <c r="J177" s="256"/>
      <c r="K177" s="256"/>
      <c r="L177" s="256"/>
      <c r="M177" s="256"/>
    </row>
    <row r="178" spans="3:14" hidden="1" x14ac:dyDescent="0.25">
      <c r="C178" s="2" t="s">
        <v>318</v>
      </c>
      <c r="D178" s="182">
        <f>+'2. Input_Allgemein'!S58/5</f>
        <v>0.2</v>
      </c>
      <c r="H178" s="177" t="s">
        <v>327</v>
      </c>
      <c r="I178" s="356">
        <f>+D178</f>
        <v>0.2</v>
      </c>
      <c r="J178" s="357"/>
      <c r="K178" s="357"/>
      <c r="L178" s="357"/>
      <c r="M178" s="358"/>
      <c r="N178" s="2" t="s">
        <v>328</v>
      </c>
    </row>
    <row r="179" spans="3:14" hidden="1" x14ac:dyDescent="0.25">
      <c r="H179" s="177"/>
      <c r="I179" s="256"/>
      <c r="J179" s="256"/>
      <c r="K179" s="256"/>
      <c r="L179" s="256"/>
      <c r="M179" s="256"/>
    </row>
    <row r="180" spans="3:14" hidden="1" x14ac:dyDescent="0.25">
      <c r="C180" s="2" t="s">
        <v>319</v>
      </c>
      <c r="D180" s="182">
        <f>+'2. Input_Allgemein'!S44/5</f>
        <v>0.4</v>
      </c>
      <c r="H180" s="177" t="s">
        <v>329</v>
      </c>
      <c r="I180" s="356">
        <f>+D180</f>
        <v>0.4</v>
      </c>
      <c r="J180" s="357"/>
      <c r="K180" s="357"/>
      <c r="L180" s="357"/>
      <c r="M180" s="358"/>
      <c r="N180" s="2" t="s">
        <v>330</v>
      </c>
    </row>
    <row r="181" spans="3:14" hidden="1" x14ac:dyDescent="0.25">
      <c r="H181" s="177"/>
      <c r="I181" s="256"/>
      <c r="J181" s="256"/>
      <c r="K181" s="256"/>
      <c r="L181" s="256"/>
      <c r="M181" s="256"/>
    </row>
    <row r="182" spans="3:14" hidden="1" x14ac:dyDescent="0.25">
      <c r="C182" s="2" t="s">
        <v>320</v>
      </c>
      <c r="D182" s="96">
        <f>MIN(((+'2. Input_Allgemein'!S46+'2. Input_Allgemein'!S57+'2. Input_Allgemein'!S59)/COUNTA('2. Input_Allgemein'!S46+'2. Input_Allgemein'!S57+'2. Input_Allgemein'!S59))/5,1)</f>
        <v>0.6</v>
      </c>
      <c r="H182" s="177" t="s">
        <v>331</v>
      </c>
      <c r="I182" s="356">
        <f>+D182</f>
        <v>0.6</v>
      </c>
      <c r="J182" s="357"/>
      <c r="K182" s="357"/>
      <c r="L182" s="357"/>
      <c r="M182" s="358"/>
      <c r="N182" s="2" t="s">
        <v>332</v>
      </c>
    </row>
    <row r="183" spans="3:14" hidden="1" x14ac:dyDescent="0.25">
      <c r="H183" s="177"/>
      <c r="I183" s="256"/>
      <c r="J183" s="256"/>
      <c r="K183" s="256"/>
      <c r="L183" s="256"/>
      <c r="M183" s="256"/>
    </row>
    <row r="184" spans="3:14" hidden="1" x14ac:dyDescent="0.25">
      <c r="C184" s="2" t="s">
        <v>321</v>
      </c>
      <c r="D184" s="182">
        <f>+'2. Input_Allgemein'!S45/5</f>
        <v>0.4</v>
      </c>
      <c r="H184" s="177" t="s">
        <v>324</v>
      </c>
      <c r="I184" s="356">
        <f>+D184</f>
        <v>0.4</v>
      </c>
      <c r="J184" s="357"/>
      <c r="K184" s="357"/>
      <c r="L184" s="357"/>
      <c r="M184" s="358"/>
      <c r="N184" s="2" t="s">
        <v>333</v>
      </c>
    </row>
    <row r="185" spans="3:14" hidden="1" x14ac:dyDescent="0.25">
      <c r="D185" s="182"/>
      <c r="H185" s="177"/>
      <c r="I185" s="277"/>
      <c r="J185" s="277"/>
      <c r="K185" s="277"/>
      <c r="L185" s="277"/>
      <c r="M185" s="277"/>
    </row>
    <row r="186" spans="3:14" hidden="1" x14ac:dyDescent="0.25">
      <c r="D186" s="182"/>
      <c r="H186" s="177"/>
      <c r="I186" s="277"/>
      <c r="J186" s="277"/>
      <c r="K186" s="277"/>
      <c r="L186" s="277"/>
      <c r="M186" s="277"/>
    </row>
    <row r="187" spans="3:14" hidden="1" x14ac:dyDescent="0.25">
      <c r="D187" s="182"/>
      <c r="H187" s="177"/>
      <c r="I187" s="277"/>
      <c r="J187" s="277"/>
      <c r="K187" s="277"/>
      <c r="L187" s="277"/>
      <c r="M187" s="277"/>
    </row>
    <row r="190" spans="3:14" hidden="1" x14ac:dyDescent="0.25">
      <c r="C190" s="147" t="s">
        <v>584</v>
      </c>
      <c r="D190" s="145"/>
      <c r="E190" s="146"/>
      <c r="F190" s="146" t="s">
        <v>585</v>
      </c>
      <c r="G190" s="146" t="s">
        <v>285</v>
      </c>
      <c r="H190" s="146" t="s">
        <v>284</v>
      </c>
      <c r="I190" s="146" t="s">
        <v>282</v>
      </c>
      <c r="J190" s="146" t="s">
        <v>283</v>
      </c>
    </row>
    <row r="191" spans="3:14" hidden="1" x14ac:dyDescent="0.25">
      <c r="F191" s="60">
        <f ca="1">+C7/1000</f>
        <v>1592.2573597678654</v>
      </c>
      <c r="G191" s="60">
        <f>+I191</f>
        <v>826.11666666666702</v>
      </c>
      <c r="H191" s="60">
        <f>+J191-I191</f>
        <v>236.0333333333333</v>
      </c>
      <c r="I191" s="60">
        <f>+G21*'4. Input_Plan'!J69</f>
        <v>826.11666666666702</v>
      </c>
      <c r="J191" s="60">
        <f>+G22*'4. Input_Plan'!J69</f>
        <v>1062.1500000000003</v>
      </c>
    </row>
    <row r="193" spans="1:11" hidden="1" x14ac:dyDescent="0.25">
      <c r="C193" s="2" t="s">
        <v>287</v>
      </c>
    </row>
    <row r="194" spans="1:11" hidden="1" x14ac:dyDescent="0.25">
      <c r="F194" s="2">
        <f ca="1">+'4. Input_Plan'!K166</f>
        <v>2027</v>
      </c>
      <c r="G194" s="2">
        <f ca="1">+'4. Input_Plan'!L166</f>
        <v>2028</v>
      </c>
      <c r="H194" s="2">
        <f ca="1">+'4. Input_Plan'!M166</f>
        <v>2029</v>
      </c>
      <c r="I194" s="2">
        <f ca="1">+'4. Input_Plan'!N166</f>
        <v>2030</v>
      </c>
      <c r="J194" s="2">
        <f ca="1">+'4. Input_Plan'!O166</f>
        <v>2031</v>
      </c>
      <c r="K194" s="2">
        <f ca="1">+'4. Input_Plan'!P166</f>
        <v>2032</v>
      </c>
    </row>
    <row r="195" spans="1:11" hidden="1" x14ac:dyDescent="0.25">
      <c r="C195" s="2" t="s">
        <v>600</v>
      </c>
      <c r="F195" s="61">
        <f ca="1">+'4. Input_Plan'!K170</f>
        <v>196.5885604523809</v>
      </c>
      <c r="G195" s="61">
        <f ca="1">+'4. Input_Plan'!L170</f>
        <v>203.33884565071435</v>
      </c>
      <c r="H195" s="61">
        <f ca="1">+'4. Input_Plan'!M170</f>
        <v>228.90650217701437</v>
      </c>
      <c r="I195" s="61">
        <f ca="1">+'4. Input_Plan'!N170</f>
        <v>255.92685379445538</v>
      </c>
      <c r="J195" s="61">
        <f ca="1">+'4. Input_Plan'!O170</f>
        <v>284.47583171736653</v>
      </c>
      <c r="K195" s="61">
        <f ca="1">+'4. Input_Plan'!P170</f>
        <v>298.35114412400833</v>
      </c>
    </row>
    <row r="196" spans="1:11" hidden="1" x14ac:dyDescent="0.25">
      <c r="C196" s="2" t="s">
        <v>297</v>
      </c>
      <c r="F196" s="61">
        <f>'4. Input_Plan'!K174</f>
        <v>-135.80000000000004</v>
      </c>
      <c r="G196" s="61">
        <f>'4. Input_Plan'!L174</f>
        <v>-142.59000000000003</v>
      </c>
      <c r="H196" s="61">
        <f>'4. Input_Plan'!M174</f>
        <v>-149.71950000000004</v>
      </c>
      <c r="I196" s="61">
        <f>'4. Input_Plan'!N174</f>
        <v>-157.20547500000006</v>
      </c>
      <c r="J196" s="61">
        <f>'4. Input_Plan'!O174</f>
        <v>-165.06574875000007</v>
      </c>
      <c r="K196" s="61">
        <f ca="1">'4. Input_Plan'!P174</f>
        <v>-167.54173498125004</v>
      </c>
    </row>
    <row r="197" spans="1:11" hidden="1" x14ac:dyDescent="0.25">
      <c r="C197" s="2" t="s">
        <v>599</v>
      </c>
      <c r="F197" s="61">
        <f ca="1">'4. Input_Plan'!K180</f>
        <v>353.87810621428582</v>
      </c>
      <c r="G197" s="61">
        <f ca="1">'4. Input_Plan'!L180</f>
        <v>-60.748845650714344</v>
      </c>
      <c r="H197" s="61">
        <f ca="1">'4. Input_Plan'!M180</f>
        <v>-79.187002177014364</v>
      </c>
      <c r="I197" s="61">
        <f ca="1">'4. Input_Plan'!N180</f>
        <v>-98.721378794455262</v>
      </c>
      <c r="J197" s="61">
        <f ca="1">'4. Input_Plan'!O180</f>
        <v>-119.41008296736635</v>
      </c>
      <c r="K197" s="61">
        <f ca="1">'4. Input_Plan'!P180</f>
        <v>-120.58942635369579</v>
      </c>
    </row>
    <row r="198" spans="1:11" hidden="1" x14ac:dyDescent="0.25">
      <c r="C198" s="2" t="s">
        <v>601</v>
      </c>
      <c r="F198" s="61">
        <f ca="1">+F195+F196</f>
        <v>60.788560452380864</v>
      </c>
      <c r="G198" s="61">
        <f t="shared" ref="G198:K198" ca="1" si="7">+G195+G196</f>
        <v>60.748845650714316</v>
      </c>
      <c r="H198" s="61">
        <f t="shared" ca="1" si="7"/>
        <v>79.187002177014335</v>
      </c>
      <c r="I198" s="61">
        <f t="shared" ca="1" si="7"/>
        <v>98.721378794455319</v>
      </c>
      <c r="J198" s="61">
        <f t="shared" ca="1" si="7"/>
        <v>119.41008296736646</v>
      </c>
      <c r="K198" s="61">
        <f t="shared" ca="1" si="7"/>
        <v>130.80940914275828</v>
      </c>
    </row>
    <row r="200" spans="1:11" s="197" customFormat="1" ht="15" customHeight="1" x14ac:dyDescent="0.25">
      <c r="A200" s="197" t="s">
        <v>410</v>
      </c>
    </row>
  </sheetData>
  <sheetProtection algorithmName="SHA-512" hashValue="2VSoKg7mK2Uk3z3gkbft7lNrcmrbugDNYHRNeE1lA4IxLS7No506ZRRmTYkogzMZsmPd83O9QHEmUkDLT6UaCg==" saltValue="xUjrocFtsgPGp6TJP6AneQ==" spinCount="100000" sheet="1" objects="1" scenarios="1"/>
  <mergeCells count="23">
    <mergeCell ref="S117:U117"/>
    <mergeCell ref="S97:U97"/>
    <mergeCell ref="S146:U146"/>
    <mergeCell ref="G61:L61"/>
    <mergeCell ref="G75:L75"/>
    <mergeCell ref="S138:U138"/>
    <mergeCell ref="G89:L89"/>
    <mergeCell ref="S130:U130"/>
    <mergeCell ref="S114:U114"/>
    <mergeCell ref="S122:U122"/>
    <mergeCell ref="I176:M176"/>
    <mergeCell ref="I178:M178"/>
    <mergeCell ref="I180:M180"/>
    <mergeCell ref="I182:M182"/>
    <mergeCell ref="I184:M184"/>
    <mergeCell ref="Q45:S47"/>
    <mergeCell ref="V42:X44"/>
    <mergeCell ref="V45:X47"/>
    <mergeCell ref="Q31:S33"/>
    <mergeCell ref="Q34:S36"/>
    <mergeCell ref="V31:X33"/>
    <mergeCell ref="V34:X36"/>
    <mergeCell ref="Q42:S44"/>
  </mergeCells>
  <conditionalFormatting sqref="I176:M176">
    <cfRule type="dataBar" priority="25">
      <dataBar>
        <cfvo type="num" val="0"/>
        <cfvo type="num" val="1"/>
        <color rgb="FF002060"/>
      </dataBar>
      <extLst>
        <ext xmlns:x14="http://schemas.microsoft.com/office/spreadsheetml/2009/9/main" uri="{B025F937-C7B1-47D3-B67F-A62EFF666E3E}">
          <x14:id>{F1C730BA-B7F7-494A-8180-17FC6F316497}</x14:id>
        </ext>
      </extLst>
    </cfRule>
  </conditionalFormatting>
  <conditionalFormatting sqref="I178:M178">
    <cfRule type="dataBar" priority="26">
      <dataBar>
        <cfvo type="num" val="0"/>
        <cfvo type="num" val="1"/>
        <color rgb="FF002060"/>
      </dataBar>
      <extLst>
        <ext xmlns:x14="http://schemas.microsoft.com/office/spreadsheetml/2009/9/main" uri="{B025F937-C7B1-47D3-B67F-A62EFF666E3E}">
          <x14:id>{E6E68403-3E34-4156-8122-42EFA9F62223}</x14:id>
        </ext>
      </extLst>
    </cfRule>
  </conditionalFormatting>
  <conditionalFormatting sqref="I180:M180">
    <cfRule type="dataBar" priority="27">
      <dataBar>
        <cfvo type="num" val="0"/>
        <cfvo type="num" val="1"/>
        <color rgb="FF002060"/>
      </dataBar>
      <extLst>
        <ext xmlns:x14="http://schemas.microsoft.com/office/spreadsheetml/2009/9/main" uri="{B025F937-C7B1-47D3-B67F-A62EFF666E3E}">
          <x14:id>{41A1010E-0A13-4A39-9559-C2FF2E740B65}</x14:id>
        </ext>
      </extLst>
    </cfRule>
  </conditionalFormatting>
  <conditionalFormatting sqref="I182:M182">
    <cfRule type="dataBar" priority="28">
      <dataBar>
        <cfvo type="num" val="0"/>
        <cfvo type="num" val="1"/>
        <color rgb="FF002060"/>
      </dataBar>
      <extLst>
        <ext xmlns:x14="http://schemas.microsoft.com/office/spreadsheetml/2009/9/main" uri="{B025F937-C7B1-47D3-B67F-A62EFF666E3E}">
          <x14:id>{B1BF1F30-6F29-4BCA-A5E2-26011BCBF2BC}</x14:id>
        </ext>
      </extLst>
    </cfRule>
  </conditionalFormatting>
  <conditionalFormatting sqref="I184:M187">
    <cfRule type="dataBar" priority="29">
      <dataBar>
        <cfvo type="num" val="0"/>
        <cfvo type="num" val="1"/>
        <color rgb="FF002060"/>
      </dataBar>
      <extLst>
        <ext xmlns:x14="http://schemas.microsoft.com/office/spreadsheetml/2009/9/main" uri="{B025F937-C7B1-47D3-B67F-A62EFF666E3E}">
          <x14:id>{799A2184-7D15-41CA-98D9-FC2764F66E56}</x14:id>
        </ext>
      </extLst>
    </cfRule>
  </conditionalFormatting>
  <hyperlinks>
    <hyperlink ref="I22" location="'2. Input_Allgemein'!E26" display="Branche auswählen" xr:uid="{284BB6C5-D3EA-4FE5-AEBB-28895FD431BA}"/>
  </hyperlinks>
  <pageMargins left="0.7" right="0.7" top="0.78740157499999996" bottom="0.78740157499999996"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F1C730BA-B7F7-494A-8180-17FC6F316497}">
            <x14:dataBar minLength="0" maxLength="100" border="1" negativeBarBorderColorSameAsPositive="0">
              <x14:cfvo type="num">
                <xm:f>0</xm:f>
              </x14:cfvo>
              <x14:cfvo type="num">
                <xm:f>1</xm:f>
              </x14:cfvo>
              <x14:borderColor rgb="FF002060"/>
              <x14:negativeFillColor rgb="FFFF0000"/>
              <x14:negativeBorderColor rgb="FFFF0000"/>
              <x14:axisColor rgb="FF000000"/>
            </x14:dataBar>
          </x14:cfRule>
          <xm:sqref>I176:M176</xm:sqref>
        </x14:conditionalFormatting>
        <x14:conditionalFormatting xmlns:xm="http://schemas.microsoft.com/office/excel/2006/main">
          <x14:cfRule type="dataBar" id="{E6E68403-3E34-4156-8122-42EFA9F62223}">
            <x14:dataBar minLength="0" maxLength="100" border="1" negativeBarBorderColorSameAsPositive="0">
              <x14:cfvo type="num">
                <xm:f>0</xm:f>
              </x14:cfvo>
              <x14:cfvo type="num">
                <xm:f>1</xm:f>
              </x14:cfvo>
              <x14:borderColor rgb="FF002060"/>
              <x14:negativeFillColor rgb="FFFF0000"/>
              <x14:negativeBorderColor rgb="FFFF0000"/>
              <x14:axisColor rgb="FF000000"/>
            </x14:dataBar>
          </x14:cfRule>
          <xm:sqref>I178:M178</xm:sqref>
        </x14:conditionalFormatting>
        <x14:conditionalFormatting xmlns:xm="http://schemas.microsoft.com/office/excel/2006/main">
          <x14:cfRule type="dataBar" id="{41A1010E-0A13-4A39-9559-C2FF2E740B65}">
            <x14:dataBar minLength="0" maxLength="100" border="1" negativeBarBorderColorSameAsPositive="0">
              <x14:cfvo type="num">
                <xm:f>0</xm:f>
              </x14:cfvo>
              <x14:cfvo type="num">
                <xm:f>1</xm:f>
              </x14:cfvo>
              <x14:borderColor rgb="FF002060"/>
              <x14:negativeFillColor rgb="FFFF0000"/>
              <x14:negativeBorderColor rgb="FFFF0000"/>
              <x14:axisColor rgb="FF000000"/>
            </x14:dataBar>
          </x14:cfRule>
          <xm:sqref>I180:M180</xm:sqref>
        </x14:conditionalFormatting>
        <x14:conditionalFormatting xmlns:xm="http://schemas.microsoft.com/office/excel/2006/main">
          <x14:cfRule type="dataBar" id="{B1BF1F30-6F29-4BCA-A5E2-26011BCBF2BC}">
            <x14:dataBar minLength="0" maxLength="100" border="1" negativeBarBorderColorSameAsPositive="0">
              <x14:cfvo type="num">
                <xm:f>0</xm:f>
              </x14:cfvo>
              <x14:cfvo type="num">
                <xm:f>1</xm:f>
              </x14:cfvo>
              <x14:borderColor rgb="FF002060"/>
              <x14:negativeFillColor rgb="FFFF0000"/>
              <x14:negativeBorderColor rgb="FFFF0000"/>
              <x14:axisColor rgb="FF000000"/>
            </x14:dataBar>
          </x14:cfRule>
          <xm:sqref>I182:M182</xm:sqref>
        </x14:conditionalFormatting>
        <x14:conditionalFormatting xmlns:xm="http://schemas.microsoft.com/office/excel/2006/main">
          <x14:cfRule type="dataBar" id="{799A2184-7D15-41CA-98D9-FC2764F66E56}">
            <x14:dataBar minLength="0" maxLength="100" border="1" negativeBarBorderColorSameAsPositive="0">
              <x14:cfvo type="num">
                <xm:f>0</xm:f>
              </x14:cfvo>
              <x14:cfvo type="num">
                <xm:f>1</xm:f>
              </x14:cfvo>
              <x14:borderColor rgb="FF002060"/>
              <x14:negativeFillColor rgb="FFFF0000"/>
              <x14:negativeBorderColor rgb="FFFF0000"/>
              <x14:axisColor rgb="FF000000"/>
            </x14:dataBar>
          </x14:cfRule>
          <xm:sqref>I184:M187</xm:sqref>
        </x14:conditionalFormatting>
        <x14:conditionalFormatting xmlns:xm="http://schemas.microsoft.com/office/excel/2006/main">
          <x14:cfRule type="expression" priority="23" id="{7156A531-CA89-4F73-B097-550B9D8D481C}">
            <xm:f>K$95&gt;'2. Input_Allgemein'!$E$38</xm:f>
            <x14:dxf>
              <font>
                <color theme="1" tint="0.499984740745262"/>
              </font>
              <fill>
                <patternFill patternType="lightTrellis"/>
              </fill>
            </x14:dxf>
          </x14:cfRule>
          <xm:sqref>K97:O98 K100:O101 K103:O103 K106:O107</xm:sqref>
        </x14:conditionalFormatting>
        <x14:conditionalFormatting xmlns:xm="http://schemas.microsoft.com/office/excel/2006/main">
          <x14:cfRule type="expression" priority="22" id="{272F8DF3-6BF5-4ED7-8FD3-356904C33728}">
            <xm:f>K$95&gt;'2. Input_Allgemein'!$E$38</xm:f>
            <x14:dxf>
              <font>
                <color theme="1" tint="0.499984740745262"/>
              </font>
              <fill>
                <patternFill patternType="lightTrellis"/>
              </fill>
            </x14:dxf>
          </x14:cfRule>
          <xm:sqref>K110:O114</xm:sqref>
        </x14:conditionalFormatting>
        <x14:conditionalFormatting xmlns:xm="http://schemas.microsoft.com/office/excel/2006/main">
          <x14:cfRule type="expression" priority="19" id="{7C460044-4616-44B3-B0B3-27FCC1BBE22F}">
            <xm:f>K$95&gt;'2. Input_Allgemein'!$E$38</xm:f>
            <x14:dxf>
              <font>
                <color theme="1" tint="0.499984740745262"/>
              </font>
              <fill>
                <patternFill patternType="lightTrellis"/>
              </fill>
            </x14:dxf>
          </x14:cfRule>
          <xm:sqref>K117:O119</xm:sqref>
        </x14:conditionalFormatting>
        <x14:conditionalFormatting xmlns:xm="http://schemas.microsoft.com/office/excel/2006/main">
          <x14:cfRule type="expression" priority="16" id="{A4AABDD8-3144-4CAD-965F-FAE9E02689EF}">
            <xm:f>K$95&gt;'2. Input_Allgemein'!$E$38</xm:f>
            <x14:dxf>
              <font>
                <color theme="1" tint="0.499984740745262"/>
              </font>
              <fill>
                <patternFill patternType="lightTrellis"/>
              </fill>
            </x14:dxf>
          </x14:cfRule>
          <xm:sqref>K122:O124</xm:sqref>
        </x14:conditionalFormatting>
        <x14:conditionalFormatting xmlns:xm="http://schemas.microsoft.com/office/excel/2006/main">
          <x14:cfRule type="expression" priority="12" id="{CEAF7E7A-24C1-40DC-B109-A7FC8391DE3A}">
            <xm:f>K$95&gt;'2. Input_Allgemein'!$E$38</xm:f>
            <x14:dxf>
              <font>
                <color theme="1" tint="0.499984740745262"/>
              </font>
              <fill>
                <patternFill patternType="lightTrellis"/>
              </fill>
            </x14:dxf>
          </x14:cfRule>
          <xm:sqref>K127:O130</xm:sqref>
        </x14:conditionalFormatting>
        <x14:conditionalFormatting xmlns:xm="http://schemas.microsoft.com/office/excel/2006/main">
          <x14:cfRule type="expression" priority="8" id="{8513BFA5-2923-459D-9A7C-947B9E01BE34}">
            <xm:f>K$95&gt;'2. Input_Allgemein'!$E$38</xm:f>
            <x14:dxf>
              <font>
                <color theme="1" tint="0.499984740745262"/>
              </font>
              <fill>
                <patternFill patternType="lightTrellis"/>
              </fill>
            </x14:dxf>
          </x14:cfRule>
          <xm:sqref>K132:O136</xm:sqref>
        </x14:conditionalFormatting>
        <x14:conditionalFormatting xmlns:xm="http://schemas.microsoft.com/office/excel/2006/main">
          <x14:cfRule type="expression" priority="6" id="{7BE0F28C-8B8C-448C-9F7C-C2A910130A6E}">
            <xm:f>K$95&gt;'2. Input_Allgemein'!$E$38</xm:f>
            <x14:dxf>
              <font>
                <color theme="1" tint="0.499984740745262"/>
              </font>
              <fill>
                <patternFill patternType="lightTrellis"/>
              </fill>
            </x14:dxf>
          </x14:cfRule>
          <xm:sqref>K138:O138</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22913-8EC8-47B0-B511-FCE5DE1CDEC6}">
  <sheetPr>
    <tabColor rgb="FF0047AB"/>
  </sheetPr>
  <dimension ref="A1"/>
  <sheetViews>
    <sheetView workbookViewId="0"/>
  </sheetViews>
  <sheetFormatPr baseColWidth="10" defaultRowHeight="15" x14ac:dyDescent="0.25"/>
  <sheetData/>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EABD0-35C7-4B35-B208-D15E8F54EEDA}">
  <sheetPr>
    <tabColor theme="0"/>
  </sheetPr>
  <dimension ref="A1:Q112"/>
  <sheetViews>
    <sheetView showGridLines="0" zoomScaleNormal="100" workbookViewId="0"/>
  </sheetViews>
  <sheetFormatPr baseColWidth="10" defaultColWidth="11.42578125" defaultRowHeight="15" zeroHeight="1" x14ac:dyDescent="0.25"/>
  <cols>
    <col min="1" max="2" width="2.7109375" style="2" customWidth="1"/>
    <col min="3" max="3" width="70.7109375" style="2" customWidth="1"/>
    <col min="4" max="4" width="10.7109375" style="2" customWidth="1"/>
    <col min="5" max="5" width="25.7109375" style="2" customWidth="1"/>
    <col min="6" max="6" width="5.7109375" style="2" customWidth="1"/>
    <col min="7" max="7" width="12.42578125" style="2" bestFit="1" customWidth="1"/>
    <col min="8" max="8" width="13.28515625" style="2" bestFit="1" customWidth="1"/>
    <col min="9" max="16384" width="11.42578125" style="2"/>
  </cols>
  <sheetData>
    <row r="1" spans="1:14" s="1" customFormat="1" ht="23.25" x14ac:dyDescent="0.35">
      <c r="A1" s="1" t="str">
        <f>+"Unternehmensbewertung in Anlehnung an IDW S 1 i.d.F. 2026 der "&amp;'2. Input_Allgemein'!E25</f>
        <v>Unternehmensbewertung in Anlehnung an IDW S 1 i.d.F. 2026 der Beispiel AG</v>
      </c>
    </row>
    <row r="2" spans="1:14" ht="5.0999999999999996" customHeight="1" x14ac:dyDescent="0.25"/>
    <row r="3" spans="1:14" x14ac:dyDescent="0.25"/>
    <row r="4" spans="1:14" x14ac:dyDescent="0.25"/>
    <row r="5" spans="1:14" ht="5.0999999999999996" customHeight="1" x14ac:dyDescent="0.25"/>
    <row r="6" spans="1:14" s="3" customFormat="1" ht="27" thickBot="1" x14ac:dyDescent="0.45">
      <c r="A6" s="3" t="s">
        <v>113</v>
      </c>
    </row>
    <row r="7" spans="1:14" x14ac:dyDescent="0.25"/>
    <row r="8" spans="1:14" ht="22.5" x14ac:dyDescent="0.35">
      <c r="C8" s="5"/>
      <c r="H8" s="61"/>
      <c r="I8" s="61"/>
      <c r="J8" s="61"/>
      <c r="K8" s="61"/>
      <c r="L8" s="61"/>
      <c r="M8" s="61"/>
    </row>
    <row r="9" spans="1:14" ht="22.5" x14ac:dyDescent="0.35">
      <c r="C9" s="5" t="s">
        <v>215</v>
      </c>
      <c r="H9" s="61"/>
      <c r="I9" s="61"/>
      <c r="J9" s="61"/>
      <c r="K9" s="61"/>
      <c r="L9" s="61"/>
    </row>
    <row r="10" spans="1:14" x14ac:dyDescent="0.25">
      <c r="G10" s="302" t="s">
        <v>38</v>
      </c>
      <c r="H10" s="303" t="s">
        <v>39</v>
      </c>
      <c r="I10" s="303"/>
      <c r="J10" s="303"/>
      <c r="K10" s="303"/>
      <c r="L10" s="303"/>
      <c r="M10" s="309" t="s">
        <v>104</v>
      </c>
    </row>
    <row r="11" spans="1:14" x14ac:dyDescent="0.25">
      <c r="G11" s="305">
        <f ca="1">+'3. Input_Historie'!J26</f>
        <v>2026</v>
      </c>
      <c r="H11" s="306">
        <f ca="1">+G11+1</f>
        <v>2027</v>
      </c>
      <c r="I11" s="307">
        <f ca="1">+H11+1</f>
        <v>2028</v>
      </c>
      <c r="J11" s="307">
        <f ca="1">+I11+1</f>
        <v>2029</v>
      </c>
      <c r="K11" s="307">
        <f ca="1">+J11+1</f>
        <v>2030</v>
      </c>
      <c r="L11" s="308">
        <f ca="1">+K11+1</f>
        <v>2031</v>
      </c>
      <c r="M11" s="310">
        <f ca="1">+OFFSET(G11,,'2. Input_Allgemein'!$E$36)+1</f>
        <v>2032</v>
      </c>
    </row>
    <row r="12" spans="1:14" x14ac:dyDescent="0.25">
      <c r="C12" s="2" t="s">
        <v>50</v>
      </c>
      <c r="D12" s="19" t="s">
        <v>37</v>
      </c>
      <c r="G12" s="62">
        <f>+'4. Input_Plan'!J84</f>
        <v>206.03333333333342</v>
      </c>
      <c r="H12" s="25">
        <f ca="1">+'4. Input_Plan'!K84</f>
        <v>187.11495238095236</v>
      </c>
      <c r="I12" s="25">
        <f ca="1">+'4. Input_Plan'!L84</f>
        <v>192.98409904761914</v>
      </c>
      <c r="J12" s="25">
        <f ca="1">+'4. Input_Plan'!M84</f>
        <v>199.38455998095247</v>
      </c>
      <c r="K12" s="220">
        <f ca="1">+'4. Input_Plan'!N84</f>
        <v>206.34739677961917</v>
      </c>
      <c r="L12" s="220">
        <f ca="1">+'4. Input_Plan'!O84</f>
        <v>213.90531142739263</v>
      </c>
      <c r="M12" s="41">
        <f ca="1">+'4. Input_Plan'!P84</f>
        <v>219.53613550683917</v>
      </c>
      <c r="N12" s="84"/>
    </row>
    <row r="13" spans="1:14" x14ac:dyDescent="0.25">
      <c r="C13" s="42" t="s">
        <v>532</v>
      </c>
      <c r="D13" s="19" t="s">
        <v>37</v>
      </c>
      <c r="G13" s="62">
        <f>'4. Input_Plan'!J87</f>
        <v>0</v>
      </c>
      <c r="H13" s="25">
        <f>'4. Input_Plan'!K87</f>
        <v>0</v>
      </c>
      <c r="I13" s="25">
        <f ca="1">'4. Input_Plan'!L87</f>
        <v>0</v>
      </c>
      <c r="J13" s="25">
        <f ca="1">'4. Input_Plan'!M87</f>
        <v>0</v>
      </c>
      <c r="K13" s="220">
        <f ca="1">'4. Input_Plan'!N87*1</f>
        <v>0</v>
      </c>
      <c r="L13" s="220">
        <f ca="1">'4. Input_Plan'!O87*1</f>
        <v>0</v>
      </c>
      <c r="M13" s="41">
        <f ca="1">'4. Input_Plan'!P87</f>
        <v>0</v>
      </c>
      <c r="N13" s="84"/>
    </row>
    <row r="14" spans="1:14" x14ac:dyDescent="0.25">
      <c r="C14" s="2" t="s">
        <v>210</v>
      </c>
      <c r="D14" s="19" t="s">
        <v>37</v>
      </c>
      <c r="G14" s="62">
        <f>'4. Input_Plan'!J88</f>
        <v>-3.2333333333333338</v>
      </c>
      <c r="H14" s="25">
        <f>'4. Input_Plan'!K88</f>
        <v>-5</v>
      </c>
      <c r="I14" s="25">
        <f ca="1">'4. Input_Plan'!L88</f>
        <v>-29.243214285714295</v>
      </c>
      <c r="J14" s="25">
        <f ca="1">'4. Input_Plan'!M88</f>
        <v>-29.243214285714295</v>
      </c>
      <c r="K14" s="220">
        <f ca="1">'4. Input_Plan'!N88</f>
        <v>-29.243214285714295</v>
      </c>
      <c r="L14" s="220">
        <f ca="1">'4. Input_Plan'!O88</f>
        <v>-29.243214285714295</v>
      </c>
      <c r="M14" s="41">
        <f ca="1">'4. Input_Plan'!P88</f>
        <v>-29.243214285714306</v>
      </c>
      <c r="N14" s="84"/>
    </row>
    <row r="15" spans="1:14" x14ac:dyDescent="0.25">
      <c r="C15" s="35" t="s">
        <v>51</v>
      </c>
      <c r="D15" s="40" t="s">
        <v>37</v>
      </c>
      <c r="E15" s="35"/>
      <c r="F15" s="35"/>
      <c r="G15" s="242">
        <f t="shared" ref="G15" si="0">+SUM(G12:G14)</f>
        <v>202.8000000000001</v>
      </c>
      <c r="H15" s="27">
        <f t="shared" ref="H15:M15" ca="1" si="1">+SUM(H12:H14)</f>
        <v>182.11495238095236</v>
      </c>
      <c r="I15" s="27">
        <f t="shared" ca="1" si="1"/>
        <v>163.74088476190485</v>
      </c>
      <c r="J15" s="27">
        <f t="shared" ca="1" si="1"/>
        <v>170.14134569523819</v>
      </c>
      <c r="K15" s="22">
        <f t="shared" ca="1" si="1"/>
        <v>177.10418249390489</v>
      </c>
      <c r="L15" s="22">
        <f t="shared" ca="1" si="1"/>
        <v>184.66209714167834</v>
      </c>
      <c r="M15" s="36">
        <f t="shared" ca="1" si="1"/>
        <v>190.29292122112486</v>
      </c>
      <c r="N15" s="84"/>
    </row>
    <row r="16" spans="1:14" x14ac:dyDescent="0.25">
      <c r="C16" s="2" t="s">
        <v>100</v>
      </c>
      <c r="D16" s="19" t="s">
        <v>37</v>
      </c>
      <c r="G16" s="62">
        <f>-G15*'4. Input_Plan'!$E$45*0-'4. Input_Plan'!J299</f>
        <v>-56.936100000000025</v>
      </c>
      <c r="H16" s="25">
        <f ca="1">-H15*'4. Input_Plan'!$E$45*0-'4. Input_Plan'!K299</f>
        <v>-51.128772880952376</v>
      </c>
      <c r="I16" s="25">
        <f ca="1">-I15*'4. Input_Plan'!$E$45*0-'4. Input_Plan'!L299</f>
        <v>-45.970253396904788</v>
      </c>
      <c r="J16" s="25">
        <f ca="1">-J15*'4. Input_Plan'!$E$45*0-'4. Input_Plan'!M299</f>
        <v>-47.76718280393812</v>
      </c>
      <c r="K16" s="220">
        <f ca="1">-K15*'4. Input_Plan'!$E$45*0-'4. Input_Plan'!N299</f>
        <v>-49.7219992351638</v>
      </c>
      <c r="L16" s="220">
        <f ca="1">-L15*'4. Input_Plan'!$E$45*0-'4. Input_Plan'!O299</f>
        <v>-51.843883772526198</v>
      </c>
      <c r="M16" s="41">
        <f ca="1">-M15*'4. Input_Plan'!$E$45*0-'4. Input_Plan'!P299</f>
        <v>-53.424737632830805</v>
      </c>
      <c r="N16" s="84"/>
    </row>
    <row r="17" spans="3:17" x14ac:dyDescent="0.25">
      <c r="C17" s="35" t="s">
        <v>214</v>
      </c>
      <c r="D17" s="40" t="s">
        <v>37</v>
      </c>
      <c r="E17" s="35"/>
      <c r="F17" s="35"/>
      <c r="G17" s="242">
        <f t="shared" ref="G17" si="2">+SUM(G15:G16)</f>
        <v>145.86390000000006</v>
      </c>
      <c r="H17" s="27">
        <f t="shared" ref="H17:M17" ca="1" si="3">+SUM(H15:H16)</f>
        <v>130.98617949999999</v>
      </c>
      <c r="I17" s="27">
        <f t="shared" ca="1" si="3"/>
        <v>117.77063136500007</v>
      </c>
      <c r="J17" s="27">
        <f t="shared" ca="1" si="3"/>
        <v>122.37416289130007</v>
      </c>
      <c r="K17" s="22">
        <f t="shared" ca="1" si="3"/>
        <v>127.38218325874109</v>
      </c>
      <c r="L17" s="22">
        <f t="shared" ca="1" si="3"/>
        <v>132.81821336915215</v>
      </c>
      <c r="M17" s="36">
        <f t="shared" ca="1" si="3"/>
        <v>136.86818358829404</v>
      </c>
      <c r="N17" s="84"/>
    </row>
    <row r="18" spans="3:17" x14ac:dyDescent="0.25">
      <c r="C18" s="2" t="s">
        <v>102</v>
      </c>
      <c r="D18" s="19" t="s">
        <v>37</v>
      </c>
      <c r="E18" s="8"/>
      <c r="F18" s="8"/>
      <c r="G18" s="62">
        <f>-'4. Input_Plan'!J72</f>
        <v>30</v>
      </c>
      <c r="H18" s="25">
        <f ca="1">-'4. Input_Plan'!K72</f>
        <v>73.685714285714283</v>
      </c>
      <c r="I18" s="25">
        <f ca="1">-'4. Input_Plan'!L72</f>
        <v>94.055714285714288</v>
      </c>
      <c r="J18" s="25">
        <f ca="1">-'4. Input_Plan'!M72</f>
        <v>115.4442142857143</v>
      </c>
      <c r="K18" s="220">
        <f ca="1">-'4. Input_Plan'!N72</f>
        <v>137.9021392857143</v>
      </c>
      <c r="L18" s="220">
        <f ca="1">-'4. Input_Plan'!O72</f>
        <v>161.48296053571431</v>
      </c>
      <c r="M18" s="41">
        <f ca="1">-'4. Input_Plan'!P72</f>
        <v>161.48296053571431</v>
      </c>
      <c r="N18" s="84"/>
    </row>
    <row r="19" spans="3:17" x14ac:dyDescent="0.25">
      <c r="C19" s="2" t="s">
        <v>103</v>
      </c>
      <c r="D19" s="19" t="s">
        <v>37</v>
      </c>
      <c r="E19" s="8"/>
      <c r="F19" s="8"/>
      <c r="G19" s="62">
        <f>-'4. Input_Plan'!J101</f>
        <v>-50</v>
      </c>
      <c r="H19" s="25">
        <f>-'4. Input_Plan'!K101</f>
        <v>-135.80000000000004</v>
      </c>
      <c r="I19" s="25">
        <f>-'4. Input_Plan'!L101</f>
        <v>-142.59000000000003</v>
      </c>
      <c r="J19" s="25">
        <f>-'4. Input_Plan'!M101</f>
        <v>-149.71950000000004</v>
      </c>
      <c r="K19" s="220">
        <f>-'4. Input_Plan'!N101</f>
        <v>-157.20547500000006</v>
      </c>
      <c r="L19" s="220">
        <f>-'4. Input_Plan'!O101</f>
        <v>-165.06574875000007</v>
      </c>
      <c r="M19" s="41">
        <f ca="1">-'4. Input_Plan'!P101</f>
        <v>-167.54173498125004</v>
      </c>
      <c r="N19" s="84"/>
    </row>
    <row r="20" spans="3:17" x14ac:dyDescent="0.25">
      <c r="C20" s="2" t="s">
        <v>101</v>
      </c>
      <c r="D20" s="19" t="s">
        <v>37</v>
      </c>
      <c r="G20" s="62">
        <f>-'4. Input_Plan'!J262</f>
        <v>-162.80000000000007</v>
      </c>
      <c r="H20" s="25">
        <f>-'4. Input_Plan'!K216</f>
        <v>-8.0833333333333997</v>
      </c>
      <c r="I20" s="25">
        <f>-'4. Input_Plan'!L216</f>
        <v>-8.4875000000000114</v>
      </c>
      <c r="J20" s="25">
        <f>-'4. Input_Plan'!M216</f>
        <v>-8.9118750000000091</v>
      </c>
      <c r="K20" s="220">
        <f>-'4. Input_Plan'!N216</f>
        <v>-9.3574687500000095</v>
      </c>
      <c r="L20" s="220">
        <f>-'4. Input_Plan'!O216</f>
        <v>-9.8253421874999276</v>
      </c>
      <c r="M20" s="41">
        <f ca="1">-'4. Input_Plan'!P216</f>
        <v>-3.0949827890624988</v>
      </c>
      <c r="N20" s="84"/>
    </row>
    <row r="21" spans="3:17" x14ac:dyDescent="0.25">
      <c r="C21" s="42" t="s">
        <v>534</v>
      </c>
      <c r="D21" s="19" t="s">
        <v>37</v>
      </c>
      <c r="G21" s="62">
        <f>(+'4. Input_Plan'!J154-'4. Input_Plan'!I154+'4. Input_Plan'!J143-'4. Input_Plan'!I143)*0+G74-F74</f>
        <v>100</v>
      </c>
      <c r="H21" s="25">
        <f ca="1">(+'4. Input_Plan'!L154-'4. Input_Plan'!K154+'4. Input_Plan'!L143-'4. Input_Plan'!K143)*0+I74-H74</f>
        <v>484.86428571428587</v>
      </c>
      <c r="I21" s="25">
        <f ca="1">(+'4. Input_Plan'!M154-'4. Input_Plan'!L154+'4. Input_Plan'!M143-'4. Input_Plan'!L143)*0+J74-I74</f>
        <v>0</v>
      </c>
      <c r="J21" s="25">
        <f ca="1">(+'4. Input_Plan'!N154-'4. Input_Plan'!M154+'4. Input_Plan'!N143-'4. Input_Plan'!M143)*0+K74-J74</f>
        <v>0</v>
      </c>
      <c r="K21" s="220">
        <f ca="1">(+'4. Input_Plan'!O154-'4. Input_Plan'!N154+'4. Input_Plan'!O143-'4. Input_Plan'!N143)*0+L74-K74</f>
        <v>0</v>
      </c>
      <c r="L21" s="220">
        <f ca="1">(+'4. Input_Plan'!P154-'4. Input_Plan'!O154+'4. Input_Plan'!P143-'4. Input_Plan'!O143)*0+M74-L74</f>
        <v>0</v>
      </c>
      <c r="M21" s="41">
        <f ca="1">+M53*(1+'4. Input_Plan'!E50)-M53</f>
        <v>8.772964285714238</v>
      </c>
      <c r="N21" s="84"/>
    </row>
    <row r="22" spans="3:17" x14ac:dyDescent="0.25">
      <c r="C22" s="35" t="s">
        <v>112</v>
      </c>
      <c r="D22" s="40" t="s">
        <v>37</v>
      </c>
      <c r="E22" s="35"/>
      <c r="F22" s="35"/>
      <c r="G22" s="243">
        <f t="shared" ref="G22" si="4">+SUM(G17:G21)</f>
        <v>63.06389999999999</v>
      </c>
      <c r="H22" s="27">
        <f t="shared" ref="H22:M22" ca="1" si="5">+SUM(H17:H21)</f>
        <v>545.65284616666668</v>
      </c>
      <c r="I22" s="27">
        <f t="shared" ca="1" si="5"/>
        <v>60.748845650714316</v>
      </c>
      <c r="J22" s="27">
        <f t="shared" ca="1" si="5"/>
        <v>79.187002177014335</v>
      </c>
      <c r="K22" s="22">
        <f t="shared" ca="1" si="5"/>
        <v>98.721378794455319</v>
      </c>
      <c r="L22" s="22">
        <f t="shared" ca="1" si="5"/>
        <v>119.41008296736646</v>
      </c>
      <c r="M22" s="36">
        <f t="shared" ca="1" si="5"/>
        <v>136.48739063941002</v>
      </c>
      <c r="N22" s="84"/>
    </row>
    <row r="23" spans="3:17" x14ac:dyDescent="0.25">
      <c r="C23" s="8"/>
      <c r="D23" s="19"/>
      <c r="E23" s="8"/>
      <c r="F23" s="8"/>
      <c r="H23" s="71"/>
      <c r="I23" s="71"/>
      <c r="J23" s="71"/>
      <c r="K23" s="71"/>
      <c r="L23" s="71"/>
      <c r="M23" s="71"/>
      <c r="N23" s="84"/>
    </row>
    <row r="24" spans="3:17" x14ac:dyDescent="0.25"/>
    <row r="25" spans="3:17" ht="22.5" x14ac:dyDescent="0.35">
      <c r="C25" s="5" t="s">
        <v>106</v>
      </c>
    </row>
    <row r="26" spans="3:17" x14ac:dyDescent="0.25">
      <c r="G26" s="302" t="s">
        <v>38</v>
      </c>
      <c r="H26" s="303" t="s">
        <v>39</v>
      </c>
      <c r="I26" s="303"/>
      <c r="J26" s="303"/>
      <c r="K26" s="303"/>
      <c r="L26" s="303"/>
      <c r="M26" s="309" t="s">
        <v>104</v>
      </c>
    </row>
    <row r="27" spans="3:17" x14ac:dyDescent="0.25">
      <c r="G27" s="305">
        <f ca="1">+'3. Input_Historie'!J26</f>
        <v>2026</v>
      </c>
      <c r="H27" s="306">
        <f ca="1">+G27+1</f>
        <v>2027</v>
      </c>
      <c r="I27" s="307">
        <f ca="1">+H27+1</f>
        <v>2028</v>
      </c>
      <c r="J27" s="307">
        <f ca="1">+I27+1</f>
        <v>2029</v>
      </c>
      <c r="K27" s="307">
        <f ca="1">+J27+1</f>
        <v>2030</v>
      </c>
      <c r="L27" s="308">
        <f ca="1">+K27+1</f>
        <v>2031</v>
      </c>
      <c r="M27" s="310">
        <f ca="1">+OFFSET(G27,,'2. Input_Allgemein'!$E$36)+1</f>
        <v>2032</v>
      </c>
    </row>
    <row r="28" spans="3:17" x14ac:dyDescent="0.25">
      <c r="C28" s="2" t="str">
        <f>+C12</f>
        <v>EBIT</v>
      </c>
      <c r="D28" s="19" t="s">
        <v>37</v>
      </c>
      <c r="G28" s="62">
        <f t="shared" ref="G28:M28" si="6">+G12</f>
        <v>206.03333333333342</v>
      </c>
      <c r="H28" s="220">
        <f t="shared" ca="1" si="6"/>
        <v>187.11495238095236</v>
      </c>
      <c r="I28" s="220">
        <f t="shared" ca="1" si="6"/>
        <v>192.98409904761914</v>
      </c>
      <c r="J28" s="220">
        <f t="shared" ca="1" si="6"/>
        <v>199.38455998095247</v>
      </c>
      <c r="K28" s="220">
        <f t="shared" ca="1" si="6"/>
        <v>206.34739677961917</v>
      </c>
      <c r="L28" s="220">
        <f t="shared" ca="1" si="6"/>
        <v>213.90531142739263</v>
      </c>
      <c r="M28" s="41">
        <f t="shared" ca="1" si="6"/>
        <v>219.53613550683917</v>
      </c>
      <c r="N28" s="84"/>
      <c r="Q28" s="61"/>
    </row>
    <row r="29" spans="3:17" x14ac:dyDescent="0.25">
      <c r="C29" s="2" t="s">
        <v>528</v>
      </c>
      <c r="D29" s="19" t="s">
        <v>41</v>
      </c>
      <c r="G29" s="229">
        <f>'4. Input_Plan'!J299/'4. Input_Plan'!J89</f>
        <v>0.28075</v>
      </c>
      <c r="H29" s="230">
        <f ca="1">'4. Input_Plan'!K299/'4. Input_Plan'!K89*0+ABS(H16/H15)</f>
        <v>0.28075</v>
      </c>
      <c r="I29" s="230">
        <f ca="1">'4. Input_Plan'!L299/'4. Input_Plan'!L89*0+ABS(I16/I15)</f>
        <v>0.28075</v>
      </c>
      <c r="J29" s="230">
        <f ca="1">'4. Input_Plan'!M299/'4. Input_Plan'!M89*0+ABS(J16/J15)</f>
        <v>0.28075</v>
      </c>
      <c r="K29" s="230">
        <f ca="1">'4. Input_Plan'!N299/'4. Input_Plan'!N89*0+ABS(K16/K15)</f>
        <v>0.28075</v>
      </c>
      <c r="L29" s="230">
        <f ca="1">'4. Input_Plan'!O299/'4. Input_Plan'!O89*0+ABS(L16/L15)</f>
        <v>0.28075</v>
      </c>
      <c r="M29" s="76">
        <f ca="1">'4. Input_Plan'!P299/'4. Input_Plan'!P89*0+ABS(M16/M15)</f>
        <v>0.28075</v>
      </c>
      <c r="N29" s="84"/>
      <c r="Q29" s="61"/>
    </row>
    <row r="30" spans="3:17" x14ac:dyDescent="0.25">
      <c r="C30" s="42" t="s">
        <v>533</v>
      </c>
      <c r="D30" s="19" t="s">
        <v>37</v>
      </c>
      <c r="G30" s="62">
        <f>-G28*'4. Input_Plan'!$E$45*0-G29*G28</f>
        <v>-57.843858333333358</v>
      </c>
      <c r="H30" s="220">
        <f ca="1">-H28*'4. Input_Plan'!$E$45*0-H29*H28*1</f>
        <v>-52.532522880952378</v>
      </c>
      <c r="I30" s="220">
        <f ca="1">-I28*'4. Input_Plan'!$E$45*0-I29*I28*1</f>
        <v>-54.180285807619072</v>
      </c>
      <c r="J30" s="220">
        <f ca="1">-J28*'4. Input_Plan'!$E$45*0-J29*J28*1</f>
        <v>-55.977215214652404</v>
      </c>
      <c r="K30" s="220">
        <f ca="1">-K28*'4. Input_Plan'!$E$45*0-K29*K28*1</f>
        <v>-57.932031645878084</v>
      </c>
      <c r="L30" s="220">
        <f ca="1">-L28*'4. Input_Plan'!$E$45*0-L29*L28*1</f>
        <v>-60.053916183240482</v>
      </c>
      <c r="M30" s="41">
        <f ca="1">-M28*'4. Input_Plan'!$E$45*0-M29*M28*1</f>
        <v>-61.634770043545096</v>
      </c>
      <c r="N30" s="84"/>
    </row>
    <row r="31" spans="3:17" x14ac:dyDescent="0.25">
      <c r="C31" s="35" t="s">
        <v>105</v>
      </c>
      <c r="D31" s="40" t="s">
        <v>37</v>
      </c>
      <c r="E31" s="35"/>
      <c r="F31" s="35"/>
      <c r="G31" s="63">
        <f t="shared" ref="G31" si="7">+G28+G30</f>
        <v>148.18947500000007</v>
      </c>
      <c r="H31" s="22">
        <f t="shared" ref="H31:M31" ca="1" si="8">+H28+H30</f>
        <v>134.58242949999999</v>
      </c>
      <c r="I31" s="22">
        <f t="shared" ca="1" si="8"/>
        <v>138.80381324000007</v>
      </c>
      <c r="J31" s="22">
        <f t="shared" ca="1" si="8"/>
        <v>143.40734476630007</v>
      </c>
      <c r="K31" s="22">
        <f t="shared" ca="1" si="8"/>
        <v>148.41536513374109</v>
      </c>
      <c r="L31" s="22">
        <f t="shared" ca="1" si="8"/>
        <v>153.85139524415214</v>
      </c>
      <c r="M31" s="36">
        <f t="shared" ca="1" si="8"/>
        <v>157.90136546329407</v>
      </c>
      <c r="N31" s="84"/>
    </row>
    <row r="32" spans="3:17" x14ac:dyDescent="0.25">
      <c r="C32" s="2" t="s">
        <v>102</v>
      </c>
      <c r="D32" s="19" t="s">
        <v>37</v>
      </c>
      <c r="G32" s="62">
        <f>-'4. Input_Plan'!J72</f>
        <v>30</v>
      </c>
      <c r="H32" s="220">
        <f ca="1">-'4. Input_Plan'!K72</f>
        <v>73.685714285714283</v>
      </c>
      <c r="I32" s="220">
        <f ca="1">-'4. Input_Plan'!L72</f>
        <v>94.055714285714288</v>
      </c>
      <c r="J32" s="220">
        <f ca="1">-'4. Input_Plan'!M72</f>
        <v>115.4442142857143</v>
      </c>
      <c r="K32" s="220">
        <f ca="1">-'4. Input_Plan'!N72</f>
        <v>137.9021392857143</v>
      </c>
      <c r="L32" s="220">
        <f ca="1">-'4. Input_Plan'!O72</f>
        <v>161.48296053571431</v>
      </c>
      <c r="M32" s="41">
        <f ca="1">-'4. Input_Plan'!P72</f>
        <v>161.48296053571431</v>
      </c>
      <c r="N32" s="84"/>
    </row>
    <row r="33" spans="3:16" x14ac:dyDescent="0.25">
      <c r="C33" s="2" t="s">
        <v>103</v>
      </c>
      <c r="D33" s="19" t="s">
        <v>37</v>
      </c>
      <c r="G33" s="62">
        <f>-'4. Input_Plan'!J101</f>
        <v>-50</v>
      </c>
      <c r="H33" s="220">
        <f>-'4. Input_Plan'!K101</f>
        <v>-135.80000000000004</v>
      </c>
      <c r="I33" s="220">
        <f>-'4. Input_Plan'!L101</f>
        <v>-142.59000000000003</v>
      </c>
      <c r="J33" s="220">
        <f>-'4. Input_Plan'!M101</f>
        <v>-149.71950000000004</v>
      </c>
      <c r="K33" s="220">
        <f>-'4. Input_Plan'!N101</f>
        <v>-157.20547500000006</v>
      </c>
      <c r="L33" s="220">
        <f>-'4. Input_Plan'!O101</f>
        <v>-165.06574875000007</v>
      </c>
      <c r="M33" s="41">
        <f ca="1">-'4. Input_Plan'!P101</f>
        <v>-167.54173498125004</v>
      </c>
      <c r="N33" s="84"/>
    </row>
    <row r="34" spans="3:16" x14ac:dyDescent="0.25">
      <c r="C34" s="2" t="s">
        <v>101</v>
      </c>
      <c r="D34" s="19" t="s">
        <v>37</v>
      </c>
      <c r="G34" s="62">
        <f>-'4. Input_Plan'!J216</f>
        <v>-4.9999999999999716</v>
      </c>
      <c r="H34" s="220">
        <f>-'4. Input_Plan'!K216</f>
        <v>-8.0833333333333997</v>
      </c>
      <c r="I34" s="220">
        <f>-'4. Input_Plan'!L216</f>
        <v>-8.4875000000000114</v>
      </c>
      <c r="J34" s="220">
        <f>-'4. Input_Plan'!M216</f>
        <v>-8.9118750000000091</v>
      </c>
      <c r="K34" s="220">
        <f>-'4. Input_Plan'!N216</f>
        <v>-9.3574687500000095</v>
      </c>
      <c r="L34" s="220">
        <f>-'4. Input_Plan'!O216</f>
        <v>-9.8253421874999276</v>
      </c>
      <c r="M34" s="41">
        <f ca="1">-'4. Input_Plan'!P216</f>
        <v>-3.0949827890624988</v>
      </c>
      <c r="N34" s="84"/>
    </row>
    <row r="35" spans="3:16" x14ac:dyDescent="0.25">
      <c r="C35" s="42" t="s">
        <v>529</v>
      </c>
      <c r="D35" s="19" t="s">
        <v>37</v>
      </c>
      <c r="G35" s="62">
        <f>+'4. Input_Plan'!I108-'4. Input_Plan'!J108</f>
        <v>0</v>
      </c>
      <c r="H35" s="220">
        <f ca="1">+'4. Input_Plan'!J108-'4. Input_Plan'!K108+('4. Input_Plan'!J119-'4. Input_Plan'!K119)*0</f>
        <v>0</v>
      </c>
      <c r="I35" s="220">
        <f ca="1">+'4. Input_Plan'!K108-'4. Input_Plan'!L108+('4. Input_Plan'!K119-'4. Input_Plan'!L119)*0</f>
        <v>0</v>
      </c>
      <c r="J35" s="220">
        <f ca="1">+'4. Input_Plan'!L108-'4. Input_Plan'!M108+('4. Input_Plan'!L119-'4. Input_Plan'!M119)*0</f>
        <v>0</v>
      </c>
      <c r="K35" s="220">
        <f ca="1">+'4. Input_Plan'!M108-'4. Input_Plan'!N108+('4. Input_Plan'!M119-'4. Input_Plan'!N119)*0</f>
        <v>0</v>
      </c>
      <c r="L35" s="220">
        <f ca="1">+'4. Input_Plan'!N108-'4. Input_Plan'!O108+('4. Input_Plan'!N119-'4. Input_Plan'!O119)*0</f>
        <v>0</v>
      </c>
      <c r="M35" s="41">
        <f ca="1">+OFFSET('4. Input_Plan'!J108,,'2. Input_Allgemein'!$E$36)-'4. Input_Plan'!P108+(OFFSET('4. Input_Plan'!J119,,'2. Input_Allgemein'!$E$36)-'4. Input_Plan'!P119)*0</f>
        <v>0</v>
      </c>
      <c r="N35" s="84"/>
      <c r="O35" s="61"/>
      <c r="P35" s="61"/>
    </row>
    <row r="36" spans="3:16" x14ac:dyDescent="0.25">
      <c r="C36" s="35" t="s">
        <v>107</v>
      </c>
      <c r="D36" s="40" t="s">
        <v>37</v>
      </c>
      <c r="E36" s="35"/>
      <c r="F36" s="35"/>
      <c r="G36" s="63">
        <f t="shared" ref="G36" si="9">+SUM(G31:G35)</f>
        <v>123.1894750000001</v>
      </c>
      <c r="H36" s="22">
        <f t="shared" ref="H36:M36" ca="1" si="10">+SUM(H31:H35)</f>
        <v>64.384810452380833</v>
      </c>
      <c r="I36" s="22">
        <f t="shared" ca="1" si="10"/>
        <v>81.782027525714312</v>
      </c>
      <c r="J36" s="22">
        <f t="shared" ca="1" si="10"/>
        <v>100.2201840520143</v>
      </c>
      <c r="K36" s="22">
        <f t="shared" ca="1" si="10"/>
        <v>119.75456066945534</v>
      </c>
      <c r="L36" s="22">
        <f t="shared" ca="1" si="10"/>
        <v>140.44326484236643</v>
      </c>
      <c r="M36" s="36">
        <f t="shared" ca="1" si="10"/>
        <v>148.74760822869587</v>
      </c>
      <c r="N36" s="84"/>
    </row>
    <row r="37" spans="3:16" x14ac:dyDescent="0.25">
      <c r="D37" s="19"/>
      <c r="G37" s="85"/>
      <c r="H37" s="85"/>
      <c r="I37" s="85"/>
      <c r="J37" s="85"/>
      <c r="K37" s="85"/>
      <c r="L37" s="85"/>
      <c r="M37" s="85"/>
      <c r="N37" s="84"/>
    </row>
    <row r="38" spans="3:16" x14ac:dyDescent="0.25">
      <c r="G38" s="61"/>
      <c r="H38" s="61"/>
      <c r="I38" s="61"/>
      <c r="J38" s="61"/>
      <c r="K38" s="61"/>
      <c r="L38" s="61"/>
      <c r="M38" s="61"/>
    </row>
    <row r="39" spans="3:16" x14ac:dyDescent="0.25">
      <c r="G39" s="61"/>
      <c r="H39" s="61"/>
      <c r="I39" s="61"/>
      <c r="J39" s="61"/>
      <c r="K39" s="61"/>
      <c r="L39" s="61"/>
      <c r="M39" s="61"/>
    </row>
    <row r="40" spans="3:16" x14ac:dyDescent="0.25">
      <c r="G40" s="61"/>
      <c r="H40" s="61"/>
      <c r="I40" s="61"/>
      <c r="J40" s="61"/>
      <c r="K40" s="61"/>
      <c r="L40" s="61"/>
      <c r="M40" s="61"/>
    </row>
    <row r="41" spans="3:16" x14ac:dyDescent="0.25"/>
    <row r="42" spans="3:16" ht="22.5" x14ac:dyDescent="0.35">
      <c r="C42" s="5" t="s">
        <v>114</v>
      </c>
    </row>
    <row r="43" spans="3:16" x14ac:dyDescent="0.25">
      <c r="G43" s="302" t="s">
        <v>38</v>
      </c>
      <c r="H43" s="303" t="s">
        <v>39</v>
      </c>
      <c r="I43" s="303"/>
      <c r="J43" s="303"/>
      <c r="K43" s="303"/>
      <c r="L43" s="303"/>
      <c r="M43" s="309" t="s">
        <v>104</v>
      </c>
    </row>
    <row r="44" spans="3:16" x14ac:dyDescent="0.25">
      <c r="G44" s="305">
        <f ca="1">+'3. Input_Historie'!J26</f>
        <v>2026</v>
      </c>
      <c r="H44" s="306">
        <f ca="1">+G44+1</f>
        <v>2027</v>
      </c>
      <c r="I44" s="307">
        <f ca="1">+H44+1</f>
        <v>2028</v>
      </c>
      <c r="J44" s="307">
        <f ca="1">+I44+1</f>
        <v>2029</v>
      </c>
      <c r="K44" s="307">
        <f ca="1">+J44+1</f>
        <v>2030</v>
      </c>
      <c r="L44" s="308">
        <f ca="1">+K44+1</f>
        <v>2031</v>
      </c>
      <c r="M44" s="310">
        <f ca="1">+OFFSET(G44,,'2. Input_Allgemein'!$E$36)+1</f>
        <v>2032</v>
      </c>
    </row>
    <row r="45" spans="3:16" x14ac:dyDescent="0.25">
      <c r="C45" s="2" t="s">
        <v>115</v>
      </c>
      <c r="E45" s="48">
        <v>2.75E-2</v>
      </c>
      <c r="H45" s="230">
        <f t="shared" ref="H45:M45" si="11">+$E$45</f>
        <v>2.75E-2</v>
      </c>
      <c r="I45" s="230">
        <f t="shared" si="11"/>
        <v>2.75E-2</v>
      </c>
      <c r="J45" s="230">
        <f t="shared" si="11"/>
        <v>2.75E-2</v>
      </c>
      <c r="K45" s="230">
        <f t="shared" si="11"/>
        <v>2.75E-2</v>
      </c>
      <c r="L45" s="230">
        <f t="shared" si="11"/>
        <v>2.75E-2</v>
      </c>
      <c r="M45" s="44">
        <f t="shared" si="11"/>
        <v>2.75E-2</v>
      </c>
      <c r="N45" s="7"/>
    </row>
    <row r="46" spans="3:16" x14ac:dyDescent="0.25">
      <c r="C46" s="2" t="s">
        <v>116</v>
      </c>
      <c r="E46" s="48">
        <v>6.5000000000000002E-2</v>
      </c>
      <c r="H46" s="230">
        <f t="shared" ref="H46:M46" si="12">+$E$46</f>
        <v>6.5000000000000002E-2</v>
      </c>
      <c r="I46" s="230">
        <f t="shared" si="12"/>
        <v>6.5000000000000002E-2</v>
      </c>
      <c r="J46" s="230">
        <f t="shared" si="12"/>
        <v>6.5000000000000002E-2</v>
      </c>
      <c r="K46" s="230">
        <f t="shared" si="12"/>
        <v>6.5000000000000002E-2</v>
      </c>
      <c r="L46" s="230">
        <f t="shared" si="12"/>
        <v>6.5000000000000002E-2</v>
      </c>
      <c r="M46" s="44">
        <f t="shared" si="12"/>
        <v>6.5000000000000002E-2</v>
      </c>
      <c r="N46" s="7"/>
    </row>
    <row r="47" spans="3:16" x14ac:dyDescent="0.25">
      <c r="C47" s="2" t="s">
        <v>121</v>
      </c>
      <c r="E47" s="39">
        <f>+'4. Input_Plan'!E32</f>
        <v>0.05</v>
      </c>
      <c r="H47" s="230">
        <f t="shared" ref="H47:M47" si="13">+$E$47</f>
        <v>0.05</v>
      </c>
      <c r="I47" s="230">
        <f t="shared" si="13"/>
        <v>0.05</v>
      </c>
      <c r="J47" s="230">
        <f t="shared" si="13"/>
        <v>0.05</v>
      </c>
      <c r="K47" s="230">
        <f t="shared" si="13"/>
        <v>0.05</v>
      </c>
      <c r="L47" s="230">
        <f t="shared" si="13"/>
        <v>0.05</v>
      </c>
      <c r="M47" s="44">
        <f t="shared" si="13"/>
        <v>0.05</v>
      </c>
    </row>
    <row r="48" spans="3:16" x14ac:dyDescent="0.25">
      <c r="E48" s="39"/>
    </row>
    <row r="49" spans="3:15" x14ac:dyDescent="0.25">
      <c r="C49" s="8" t="s">
        <v>119</v>
      </c>
    </row>
    <row r="50" spans="3:15" x14ac:dyDescent="0.25">
      <c r="C50" s="2" t="s">
        <v>117</v>
      </c>
      <c r="E50" s="47">
        <v>1</v>
      </c>
      <c r="H50" s="231">
        <f t="shared" ref="H50:M50" si="14">+$E$50</f>
        <v>1</v>
      </c>
      <c r="I50" s="231">
        <f t="shared" si="14"/>
        <v>1</v>
      </c>
      <c r="J50" s="231">
        <f t="shared" si="14"/>
        <v>1</v>
      </c>
      <c r="K50" s="231">
        <f t="shared" si="14"/>
        <v>1</v>
      </c>
      <c r="L50" s="231">
        <f t="shared" si="14"/>
        <v>1</v>
      </c>
      <c r="M50" s="46">
        <f t="shared" si="14"/>
        <v>1</v>
      </c>
      <c r="N50" s="7"/>
    </row>
    <row r="51" spans="3:15" x14ac:dyDescent="0.25">
      <c r="C51" s="2" t="s">
        <v>538</v>
      </c>
      <c r="G51" s="63">
        <f>+'4. Input_Plan'!I143+'4. Input_Plan'!I154+'4. Input_Plan'!I156</f>
        <v>100</v>
      </c>
      <c r="H51" s="75">
        <f>+'4. Input_Plan'!J143+'4. Input_Plan'!J154+'4. Input_Plan'!J156</f>
        <v>100</v>
      </c>
      <c r="I51" s="75">
        <f ca="1">+'4. Input_Plan'!K143+'4. Input_Plan'!K154+'4. Input_Plan'!K156</f>
        <v>584.86428571428587</v>
      </c>
      <c r="J51" s="75">
        <f ca="1">+'4. Input_Plan'!L143+'4. Input_Plan'!L154+'4. Input_Plan'!L156</f>
        <v>584.86428571428587</v>
      </c>
      <c r="K51" s="75">
        <f ca="1">+'4. Input_Plan'!M143+'4. Input_Plan'!M154+'4. Input_Plan'!M156</f>
        <v>584.86428571428587</v>
      </c>
      <c r="L51" s="75">
        <f ca="1">+'4. Input_Plan'!N143+'4. Input_Plan'!N154+'4. Input_Plan'!N156</f>
        <v>584.86428571428587</v>
      </c>
      <c r="M51" s="75">
        <f ca="1">+OFFSET('4. Input_Plan'!J143,,'2. Input_Allgemein'!$E$36)+OFFSET('4. Input_Plan'!J154,,'2. Input_Allgemein'!$E$36)+OFFSET('4. Input_Plan'!J156,,'2. Input_Allgemein'!$E$36)</f>
        <v>584.8642857142861</v>
      </c>
      <c r="N51" s="7"/>
    </row>
    <row r="52" spans="3:15" x14ac:dyDescent="0.25">
      <c r="C52" s="2" t="s">
        <v>539</v>
      </c>
      <c r="G52" s="63">
        <f>+'4. Input_Plan'!I119</f>
        <v>0</v>
      </c>
      <c r="H52" s="75">
        <f>+'4. Input_Plan'!J119</f>
        <v>0</v>
      </c>
      <c r="I52" s="75">
        <f ca="1">+'4. Input_Plan'!K119</f>
        <v>0</v>
      </c>
      <c r="J52" s="75">
        <f ca="1">+'4. Input_Plan'!L119</f>
        <v>0</v>
      </c>
      <c r="K52" s="75">
        <f ca="1">+'4. Input_Plan'!M119</f>
        <v>0</v>
      </c>
      <c r="L52" s="75">
        <f ca="1">+'4. Input_Plan'!N119</f>
        <v>0</v>
      </c>
      <c r="M52" s="75">
        <f ca="1">+OFFSET('4. Input_Plan'!J119,,'2. Input_Allgemein'!$E$36)</f>
        <v>0</v>
      </c>
      <c r="N52" s="7"/>
    </row>
    <row r="53" spans="3:15" x14ac:dyDescent="0.25">
      <c r="C53" s="2" t="s">
        <v>527</v>
      </c>
      <c r="G53" s="243">
        <f t="shared" ref="G53:H53" si="15">+G51-G52</f>
        <v>100</v>
      </c>
      <c r="H53" s="244">
        <f t="shared" si="15"/>
        <v>100</v>
      </c>
      <c r="I53" s="244">
        <f ca="1">+I51-I52</f>
        <v>584.86428571428587</v>
      </c>
      <c r="J53" s="244">
        <f ca="1">+J51-J52</f>
        <v>584.86428571428587</v>
      </c>
      <c r="K53" s="244">
        <f ca="1">+K51-K52</f>
        <v>584.86428571428587</v>
      </c>
      <c r="L53" s="244">
        <f ca="1">+L51-L52</f>
        <v>584.86428571428587</v>
      </c>
      <c r="M53" s="244">
        <f ca="1">+M51-M52</f>
        <v>584.8642857142861</v>
      </c>
      <c r="N53" s="7"/>
    </row>
    <row r="54" spans="3:15" x14ac:dyDescent="0.25">
      <c r="C54" s="2" t="s">
        <v>192</v>
      </c>
      <c r="G54" s="18"/>
      <c r="H54" s="75">
        <f t="shared" ref="H54:M54" ca="1" si="16">+H88</f>
        <v>1577.0638454129087</v>
      </c>
      <c r="I54" s="75">
        <f t="shared" ca="1" si="16"/>
        <v>1181.9645299469362</v>
      </c>
      <c r="J54" s="75">
        <f t="shared" ca="1" si="16"/>
        <v>1257.8905397538135</v>
      </c>
      <c r="K54" s="75">
        <f t="shared" ca="1" si="16"/>
        <v>1322.4015489415269</v>
      </c>
      <c r="L54" s="75">
        <f t="shared" ca="1" si="16"/>
        <v>1373.3454498616629</v>
      </c>
      <c r="M54" s="75">
        <f t="shared" ca="1" si="16"/>
        <v>1408.3129574440004</v>
      </c>
      <c r="N54" s="81"/>
      <c r="O54" s="45"/>
    </row>
    <row r="55" spans="3:15" x14ac:dyDescent="0.25">
      <c r="C55" s="18" t="s">
        <v>195</v>
      </c>
      <c r="D55" s="18"/>
      <c r="E55" s="18"/>
      <c r="F55" s="18"/>
      <c r="G55" s="18"/>
      <c r="H55" s="230">
        <f t="shared" ref="H55:M55" ca="1" si="17">(+IF(ISERROR(H53/SUM(H53,H54)),0,H53/SUM(H53,H54)))</f>
        <v>5.962802207770395E-2</v>
      </c>
      <c r="I55" s="230">
        <f t="shared" ca="1" si="17"/>
        <v>0.33102487379084594</v>
      </c>
      <c r="J55" s="230">
        <f t="shared" ca="1" si="17"/>
        <v>0.31738583865366776</v>
      </c>
      <c r="K55" s="230">
        <f t="shared" ca="1" si="17"/>
        <v>0.30665063835730644</v>
      </c>
      <c r="L55" s="230">
        <f t="shared" ca="1" si="17"/>
        <v>0.29867295371313507</v>
      </c>
      <c r="M55" s="76">
        <f t="shared" ca="1" si="17"/>
        <v>0.29343315438798617</v>
      </c>
      <c r="N55" s="7"/>
      <c r="O55" s="45"/>
    </row>
    <row r="56" spans="3:15" x14ac:dyDescent="0.25">
      <c r="C56" s="18" t="s">
        <v>193</v>
      </c>
      <c r="D56" s="18"/>
      <c r="E56" s="18"/>
      <c r="F56" s="18"/>
      <c r="G56" s="18"/>
      <c r="H56" s="230">
        <f t="shared" ref="H56:M56" ca="1" si="18">(+IF(ISERROR(H54/SUM(H53,H54)),0,H54/SUM(H53,H54)))</f>
        <v>0.9403719779222961</v>
      </c>
      <c r="I56" s="230">
        <f t="shared" ca="1" si="18"/>
        <v>0.668975126209154</v>
      </c>
      <c r="J56" s="230">
        <f t="shared" ca="1" si="18"/>
        <v>0.68261416134633224</v>
      </c>
      <c r="K56" s="230">
        <f t="shared" ca="1" si="18"/>
        <v>0.69334936164269356</v>
      </c>
      <c r="L56" s="230">
        <f t="shared" ca="1" si="18"/>
        <v>0.70132704628686493</v>
      </c>
      <c r="M56" s="76">
        <f t="shared" ca="1" si="18"/>
        <v>0.70656684561201388</v>
      </c>
      <c r="N56" s="7"/>
      <c r="O56" s="45"/>
    </row>
    <row r="57" spans="3:15" x14ac:dyDescent="0.25">
      <c r="C57" s="2" t="s">
        <v>194</v>
      </c>
      <c r="H57" s="230">
        <f ca="1">+H55/H56</f>
        <v>6.3408973765306173E-2</v>
      </c>
      <c r="I57" s="230">
        <f ca="1">+I55/I56</f>
        <v>0.49482388929263649</v>
      </c>
      <c r="J57" s="230">
        <f ca="1">+J55/J56</f>
        <v>0.46495642286072991</v>
      </c>
      <c r="K57" s="230">
        <f ca="1">+K55/K56</f>
        <v>0.44227435016423067</v>
      </c>
      <c r="L57" s="230">
        <f ca="1">+L55/L56</f>
        <v>0.4258682953900631</v>
      </c>
      <c r="M57" s="76">
        <f ca="1">+IFERROR(M55/M56,1)</f>
        <v>0.41529425872483489</v>
      </c>
      <c r="N57" s="7"/>
      <c r="O57" s="45"/>
    </row>
    <row r="58" spans="3:15" x14ac:dyDescent="0.25">
      <c r="C58" s="2" t="s">
        <v>118</v>
      </c>
      <c r="E58" s="59">
        <f>1-'4. Input_Plan'!E45</f>
        <v>0.71924999999999994</v>
      </c>
      <c r="H58" s="230">
        <f t="shared" ref="H58:M58" ca="1" si="19">+$E$58*0+(1-H29)*1</f>
        <v>0.71924999999999994</v>
      </c>
      <c r="I58" s="230">
        <f t="shared" ca="1" si="19"/>
        <v>0.71924999999999994</v>
      </c>
      <c r="J58" s="230">
        <f t="shared" ca="1" si="19"/>
        <v>0.71924999999999994</v>
      </c>
      <c r="K58" s="230">
        <f t="shared" ca="1" si="19"/>
        <v>0.71924999999999994</v>
      </c>
      <c r="L58" s="230">
        <f t="shared" ca="1" si="19"/>
        <v>0.71924999999999994</v>
      </c>
      <c r="M58" s="76">
        <f t="shared" ca="1" si="19"/>
        <v>0.71924999999999994</v>
      </c>
      <c r="N58" s="7"/>
    </row>
    <row r="59" spans="3:15" x14ac:dyDescent="0.25">
      <c r="C59" s="2" t="s">
        <v>122</v>
      </c>
      <c r="H59" s="231">
        <f t="shared" ref="H59" si="20">MAX(MIN((+H73-H45)/H46,H50),0)</f>
        <v>0.3461538461538462</v>
      </c>
      <c r="I59" s="231">
        <f ca="1">MAX(MIN((+I73-I45)/I46,I50),0)</f>
        <v>0.3461538461538462</v>
      </c>
      <c r="J59" s="231">
        <f ca="1">MAX(MIN((+J73-J45)/J46,J50),0)</f>
        <v>0.3461538461538462</v>
      </c>
      <c r="K59" s="231">
        <f ca="1">MAX(MIN((+K73-K45)/K46,K50),0)</f>
        <v>0.3461538461538462</v>
      </c>
      <c r="L59" s="231">
        <f ca="1">MAX(MIN((+L73-L45)/L46,L50),0)</f>
        <v>0.3461538461538462</v>
      </c>
      <c r="M59" s="46">
        <f ca="1">MAX(MIN((+M73-M45)/M46,M50),0)</f>
        <v>0.3461538461538462</v>
      </c>
    </row>
    <row r="60" spans="3:15" x14ac:dyDescent="0.25">
      <c r="C60" s="35" t="s">
        <v>120</v>
      </c>
      <c r="D60" s="35"/>
      <c r="E60" s="35"/>
      <c r="F60" s="35"/>
      <c r="G60" s="35"/>
      <c r="H60" s="254">
        <f ca="1">(H50+(H50-H59)*H57)*0+(H50+(H58)*'(AUSBLENDEN) Bewertung'!H57)*1</f>
        <v>1.0456069043806964</v>
      </c>
      <c r="I60" s="254">
        <f ca="1">(I50+(I50-I59)*I57)*0+(I50+(I58)*'(AUSBLENDEN) Bewertung'!I57)*1</f>
        <v>1.3559020823737287</v>
      </c>
      <c r="J60" s="254">
        <f ca="1">(J50+(J50-J59)*J57)*0+(J50+(J58)*'(AUSBLENDEN) Bewertung'!J57)*1</f>
        <v>1.33441990714258</v>
      </c>
      <c r="K60" s="254">
        <f ca="1">(K50+(K50-K59)*K57)*0+(K50+(K58)*'(AUSBLENDEN) Bewertung'!K57)*1</f>
        <v>1.3181058263556229</v>
      </c>
      <c r="L60" s="254">
        <f ca="1">(L50+(L50-L59)*L57)*0+(L50+(L58)*'(AUSBLENDEN) Bewertung'!L57)*1</f>
        <v>1.3063057714593029</v>
      </c>
      <c r="M60" s="254">
        <f ca="1">(M50+(M50-M59)*M57)*0+(M50+(M58)*M57)*1</f>
        <v>1.2987003955878373</v>
      </c>
    </row>
    <row r="61" spans="3:15" x14ac:dyDescent="0.25"/>
    <row r="62" spans="3:15" x14ac:dyDescent="0.25">
      <c r="C62" s="8" t="s">
        <v>132</v>
      </c>
    </row>
    <row r="63" spans="3:15" x14ac:dyDescent="0.25">
      <c r="C63" s="2" t="s">
        <v>140</v>
      </c>
      <c r="H63" s="230">
        <f t="shared" ref="H63:M63" ca="1" si="21">+H45+H46*H60</f>
        <v>9.5464448784745262E-2</v>
      </c>
      <c r="I63" s="230">
        <f t="shared" ca="1" si="21"/>
        <v>0.11563363535429236</v>
      </c>
      <c r="J63" s="230">
        <f t="shared" ca="1" si="21"/>
        <v>0.1142372939642677</v>
      </c>
      <c r="K63" s="230">
        <f t="shared" ca="1" si="21"/>
        <v>0.11317687871311549</v>
      </c>
      <c r="L63" s="230">
        <f t="shared" ca="1" si="21"/>
        <v>0.11240987514485469</v>
      </c>
      <c r="M63" s="44">
        <f t="shared" ca="1" si="21"/>
        <v>0.11191552571320942</v>
      </c>
    </row>
    <row r="64" spans="3:15" x14ac:dyDescent="0.25">
      <c r="C64" s="2" t="s">
        <v>123</v>
      </c>
      <c r="D64" s="52">
        <f>+(SUM('2. Input_Allgemein'!S57:S59)+SUM('2. Input_Allgemein'!S49:S50))/(COUNTA('2. Input_Allgemein'!S57:S59)+COUNTA('2. Input_Allgemein'!S49:S50))</f>
        <v>1</v>
      </c>
      <c r="E64" s="48">
        <v>0</v>
      </c>
      <c r="H64" s="230">
        <f t="shared" ref="H64:M66" si="22">+$E64*$D64</f>
        <v>0</v>
      </c>
      <c r="I64" s="230">
        <f t="shared" si="22"/>
        <v>0</v>
      </c>
      <c r="J64" s="230">
        <f t="shared" si="22"/>
        <v>0</v>
      </c>
      <c r="K64" s="230">
        <f t="shared" si="22"/>
        <v>0</v>
      </c>
      <c r="L64" s="230">
        <f t="shared" si="22"/>
        <v>0</v>
      </c>
      <c r="M64" s="44">
        <f t="shared" si="22"/>
        <v>0</v>
      </c>
    </row>
    <row r="65" spans="3:15" x14ac:dyDescent="0.25">
      <c r="C65" s="2" t="s">
        <v>124</v>
      </c>
      <c r="D65" s="52">
        <f>+SUM('2. Input_Allgemein'!S44:S46)/COUNTA('2. Input_Allgemein'!S44:S46)</f>
        <v>1.6666666666666667</v>
      </c>
      <c r="E65" s="48">
        <v>0</v>
      </c>
      <c r="H65" s="230">
        <f t="shared" si="22"/>
        <v>0</v>
      </c>
      <c r="I65" s="230">
        <f t="shared" si="22"/>
        <v>0</v>
      </c>
      <c r="J65" s="230">
        <f t="shared" si="22"/>
        <v>0</v>
      </c>
      <c r="K65" s="230">
        <f t="shared" si="22"/>
        <v>0</v>
      </c>
      <c r="L65" s="230">
        <f t="shared" si="22"/>
        <v>0</v>
      </c>
      <c r="M65" s="44">
        <f t="shared" si="22"/>
        <v>0</v>
      </c>
    </row>
    <row r="66" spans="3:15" x14ac:dyDescent="0.25">
      <c r="C66" s="2" t="s">
        <v>125</v>
      </c>
      <c r="D66" s="52">
        <f>+SUM('2. Input_Allgemein'!S53:S54)/COUNTA('2. Input_Allgemein'!E53:E54)</f>
        <v>2</v>
      </c>
      <c r="E66" s="53">
        <v>0</v>
      </c>
      <c r="H66" s="230">
        <f t="shared" si="22"/>
        <v>0</v>
      </c>
      <c r="I66" s="230">
        <f t="shared" si="22"/>
        <v>0</v>
      </c>
      <c r="J66" s="230">
        <f t="shared" si="22"/>
        <v>0</v>
      </c>
      <c r="K66" s="230">
        <f t="shared" si="22"/>
        <v>0</v>
      </c>
      <c r="L66" s="230">
        <f t="shared" si="22"/>
        <v>0</v>
      </c>
      <c r="M66" s="54">
        <f t="shared" si="22"/>
        <v>0</v>
      </c>
    </row>
    <row r="67" spans="3:15" x14ac:dyDescent="0.25">
      <c r="C67" s="35" t="s">
        <v>126</v>
      </c>
      <c r="D67" s="35"/>
      <c r="E67" s="35"/>
      <c r="F67" s="35"/>
      <c r="G67" s="255"/>
      <c r="H67" s="232">
        <f t="shared" ref="H67:M67" ca="1" si="23">+H63+H64+H65+H66</f>
        <v>9.5464448784745262E-2</v>
      </c>
      <c r="I67" s="232">
        <f t="shared" ca="1" si="23"/>
        <v>0.11563363535429236</v>
      </c>
      <c r="J67" s="232">
        <f t="shared" ca="1" si="23"/>
        <v>0.1142372939642677</v>
      </c>
      <c r="K67" s="232">
        <f t="shared" ca="1" si="23"/>
        <v>0.11317687871311549</v>
      </c>
      <c r="L67" s="232">
        <f t="shared" ca="1" si="23"/>
        <v>0.11240987514485469</v>
      </c>
      <c r="M67" s="51">
        <f t="shared" ca="1" si="23"/>
        <v>0.11191552571320942</v>
      </c>
    </row>
    <row r="68" spans="3:15" x14ac:dyDescent="0.25"/>
    <row r="69" spans="3:15" x14ac:dyDescent="0.25">
      <c r="C69" s="8" t="s">
        <v>133</v>
      </c>
    </row>
    <row r="70" spans="3:15" x14ac:dyDescent="0.25">
      <c r="C70" s="2" t="s">
        <v>134</v>
      </c>
      <c r="H70" s="230">
        <f t="shared" ref="H70:M70" ca="1" si="24">+H67</f>
        <v>9.5464448784745262E-2</v>
      </c>
      <c r="I70" s="230">
        <f t="shared" ca="1" si="24"/>
        <v>0.11563363535429236</v>
      </c>
      <c r="J70" s="230">
        <f t="shared" ca="1" si="24"/>
        <v>0.1142372939642677</v>
      </c>
      <c r="K70" s="230">
        <f t="shared" ca="1" si="24"/>
        <v>0.11317687871311549</v>
      </c>
      <c r="L70" s="230">
        <f t="shared" ca="1" si="24"/>
        <v>0.11240987514485469</v>
      </c>
      <c r="M70" s="44">
        <f t="shared" ca="1" si="24"/>
        <v>0.11191552571320942</v>
      </c>
    </row>
    <row r="71" spans="3:15" x14ac:dyDescent="0.25">
      <c r="C71" s="18" t="s">
        <v>193</v>
      </c>
      <c r="G71" s="64">
        <f ca="1">+G88/(G88+G74)</f>
        <v>0.9403719779222961</v>
      </c>
      <c r="H71" s="230">
        <f t="shared" ref="H71:M71" ca="1" si="25">+H56</f>
        <v>0.9403719779222961</v>
      </c>
      <c r="I71" s="230">
        <f t="shared" ca="1" si="25"/>
        <v>0.668975126209154</v>
      </c>
      <c r="J71" s="230">
        <f t="shared" ca="1" si="25"/>
        <v>0.68261416134633224</v>
      </c>
      <c r="K71" s="230">
        <f t="shared" ca="1" si="25"/>
        <v>0.69334936164269356</v>
      </c>
      <c r="L71" s="230">
        <f t="shared" ca="1" si="25"/>
        <v>0.70132704628686493</v>
      </c>
      <c r="M71" s="44">
        <f t="shared" ca="1" si="25"/>
        <v>0.70656684561201388</v>
      </c>
    </row>
    <row r="72" spans="3:15" x14ac:dyDescent="0.25">
      <c r="C72" s="2" t="s">
        <v>196</v>
      </c>
      <c r="H72" s="231">
        <f>-'4. Input_Plan'!K88-'4. Input_Plan'!K87*1</f>
        <v>5</v>
      </c>
      <c r="I72" s="231">
        <f ca="1">-'4. Input_Plan'!L88-'4. Input_Plan'!L87*1</f>
        <v>29.243214285714295</v>
      </c>
      <c r="J72" s="231">
        <f ca="1">-'4. Input_Plan'!M88-'4. Input_Plan'!M87*1</f>
        <v>29.243214285714295</v>
      </c>
      <c r="K72" s="231">
        <f ca="1">-'4. Input_Plan'!N88-'4. Input_Plan'!N87*1</f>
        <v>29.243214285714295</v>
      </c>
      <c r="L72" s="231">
        <f ca="1">-'4. Input_Plan'!O88-'4. Input_Plan'!O87*1</f>
        <v>29.243214285714295</v>
      </c>
      <c r="M72" s="46">
        <f ca="1">-'4. Input_Plan'!P88-'4. Input_Plan'!P87*1</f>
        <v>29.243214285714306</v>
      </c>
      <c r="N72" s="7"/>
      <c r="O72" s="45"/>
    </row>
    <row r="73" spans="3:15" x14ac:dyDescent="0.25">
      <c r="C73" s="2" t="s">
        <v>537</v>
      </c>
      <c r="H73" s="230">
        <f t="shared" ref="H73" si="26">IF(ISERROR(+H72/H74),0,H72/H74)*1</f>
        <v>0.05</v>
      </c>
      <c r="I73" s="230">
        <f ca="1">IF(ISERROR(+I72/I74),0,I72/I74)*1</f>
        <v>0.05</v>
      </c>
      <c r="J73" s="230">
        <f ca="1">IF(ISERROR(+J72/J74),0,J72/J74)*1</f>
        <v>0.05</v>
      </c>
      <c r="K73" s="230">
        <f ca="1">IF(ISERROR(+K72/K74),0,K72/K74)*1</f>
        <v>0.05</v>
      </c>
      <c r="L73" s="230">
        <f ca="1">IF(ISERROR(+L72/L74),0,L72/L74)*1</f>
        <v>0.05</v>
      </c>
      <c r="M73" s="44">
        <f ca="1">IF(ISERROR(+M72/M74),0,M72/M74)*1</f>
        <v>0.05</v>
      </c>
      <c r="N73" s="7"/>
      <c r="O73" s="45"/>
    </row>
    <row r="74" spans="3:15" x14ac:dyDescent="0.25">
      <c r="C74" s="2" t="s">
        <v>535</v>
      </c>
      <c r="G74" s="62">
        <f t="shared" ref="G74:H74" si="27">+G53</f>
        <v>100</v>
      </c>
      <c r="H74" s="220">
        <f t="shared" si="27"/>
        <v>100</v>
      </c>
      <c r="I74" s="220">
        <f ca="1">+I53</f>
        <v>584.86428571428587</v>
      </c>
      <c r="J74" s="220">
        <f ca="1">+J53</f>
        <v>584.86428571428587</v>
      </c>
      <c r="K74" s="220">
        <f ca="1">+K53</f>
        <v>584.86428571428587</v>
      </c>
      <c r="L74" s="220">
        <f ca="1">+L53</f>
        <v>584.86428571428587</v>
      </c>
      <c r="M74" s="41">
        <f ca="1">+M53</f>
        <v>584.8642857142861</v>
      </c>
    </row>
    <row r="75" spans="3:15" x14ac:dyDescent="0.25">
      <c r="C75" s="2" t="s">
        <v>536</v>
      </c>
      <c r="G75" s="64">
        <f ca="1">1-G71</f>
        <v>5.9628022077703902E-2</v>
      </c>
      <c r="H75" s="230">
        <f t="shared" ref="H75:M75" ca="1" si="28">+H55*1</f>
        <v>5.962802207770395E-2</v>
      </c>
      <c r="I75" s="230">
        <f t="shared" ca="1" si="28"/>
        <v>0.33102487379084594</v>
      </c>
      <c r="J75" s="230">
        <f t="shared" ca="1" si="28"/>
        <v>0.31738583865366776</v>
      </c>
      <c r="K75" s="230">
        <f t="shared" ca="1" si="28"/>
        <v>0.30665063835730644</v>
      </c>
      <c r="L75" s="230">
        <f t="shared" ca="1" si="28"/>
        <v>0.29867295371313507</v>
      </c>
      <c r="M75" s="44">
        <f t="shared" ca="1" si="28"/>
        <v>0.29343315438798617</v>
      </c>
    </row>
    <row r="76" spans="3:15" x14ac:dyDescent="0.25">
      <c r="C76" s="2" t="s">
        <v>118</v>
      </c>
      <c r="E76" s="59">
        <f>+E58</f>
        <v>0.71924999999999994</v>
      </c>
      <c r="G76" s="84"/>
      <c r="H76" s="230">
        <f t="shared" ref="H76:M76" ca="1" si="29">+H58</f>
        <v>0.71924999999999994</v>
      </c>
      <c r="I76" s="230">
        <f t="shared" ca="1" si="29"/>
        <v>0.71924999999999994</v>
      </c>
      <c r="J76" s="230">
        <f t="shared" ca="1" si="29"/>
        <v>0.71924999999999994</v>
      </c>
      <c r="K76" s="230">
        <f t="shared" ca="1" si="29"/>
        <v>0.71924999999999994</v>
      </c>
      <c r="L76" s="230">
        <f t="shared" ca="1" si="29"/>
        <v>0.71924999999999994</v>
      </c>
      <c r="M76" s="44">
        <f t="shared" ca="1" si="29"/>
        <v>0.71924999999999994</v>
      </c>
    </row>
    <row r="77" spans="3:15" x14ac:dyDescent="0.25">
      <c r="C77" s="35" t="s">
        <v>135</v>
      </c>
      <c r="D77" s="35"/>
      <c r="E77" s="35"/>
      <c r="F77" s="35"/>
      <c r="G77" s="255"/>
      <c r="H77" s="232">
        <f t="shared" ref="H77:M77" ca="1" si="30">+H70*H71+H75*H73*H76</f>
        <v>9.1916465268942066E-2</v>
      </c>
      <c r="I77" s="232">
        <f t="shared" ca="1" si="30"/>
        <v>8.9260507828864313E-2</v>
      </c>
      <c r="J77" s="232">
        <f t="shared" ca="1" si="30"/>
        <v>8.9393982836475538E-2</v>
      </c>
      <c r="K77" s="232">
        <f t="shared" ca="1" si="30"/>
        <v>8.9499040190375814E-2</v>
      </c>
      <c r="L77" s="232">
        <f t="shared" ca="1" si="30"/>
        <v>8.9577111806724841E-2</v>
      </c>
      <c r="M77" s="51">
        <f t="shared" ca="1" si="30"/>
        <v>8.9628389792870564E-2</v>
      </c>
    </row>
    <row r="78" spans="3:15" x14ac:dyDescent="0.25">
      <c r="H78" s="239"/>
      <c r="I78" s="239"/>
      <c r="J78" s="239"/>
      <c r="K78" s="239"/>
      <c r="L78" s="239"/>
      <c r="M78" s="239"/>
    </row>
    <row r="79" spans="3:15" x14ac:dyDescent="0.25">
      <c r="H79" s="84"/>
      <c r="I79" s="84"/>
      <c r="J79" s="84"/>
      <c r="K79" s="84"/>
      <c r="L79" s="84"/>
      <c r="M79" s="84"/>
    </row>
    <row r="80" spans="3:15" x14ac:dyDescent="0.25">
      <c r="C80" s="176"/>
    </row>
    <row r="81" spans="3:14" x14ac:dyDescent="0.25"/>
    <row r="82" spans="3:14" ht="22.5" x14ac:dyDescent="0.35">
      <c r="C82" s="5" t="s">
        <v>130</v>
      </c>
    </row>
    <row r="83" spans="3:14" x14ac:dyDescent="0.25">
      <c r="G83" s="302" t="s">
        <v>38</v>
      </c>
      <c r="H83" s="303" t="s">
        <v>39</v>
      </c>
      <c r="I83" s="303"/>
      <c r="J83" s="303"/>
      <c r="K83" s="303"/>
      <c r="L83" s="303"/>
      <c r="M83" s="309" t="s">
        <v>104</v>
      </c>
    </row>
    <row r="84" spans="3:14" x14ac:dyDescent="0.25">
      <c r="G84" s="305">
        <f ca="1">+'3. Input_Historie'!J26</f>
        <v>2026</v>
      </c>
      <c r="H84" s="306">
        <f ca="1">+G84+1</f>
        <v>2027</v>
      </c>
      <c r="I84" s="307">
        <f ca="1">+H84+1</f>
        <v>2028</v>
      </c>
      <c r="J84" s="307">
        <f ca="1">+I84+1</f>
        <v>2029</v>
      </c>
      <c r="K84" s="307">
        <f ca="1">+J84+1</f>
        <v>2030</v>
      </c>
      <c r="L84" s="308">
        <f ca="1">+K84+1</f>
        <v>2031</v>
      </c>
      <c r="M84" s="310">
        <f ca="1">+OFFSET(G84,,'2. Input_Allgemein'!$E$36)+1</f>
        <v>2032</v>
      </c>
    </row>
    <row r="85" spans="3:14" x14ac:dyDescent="0.25">
      <c r="C85" s="2" t="str">
        <f>+C22</f>
        <v>Flow to Equity</v>
      </c>
      <c r="D85" s="19" t="s">
        <v>37</v>
      </c>
      <c r="H85" s="46">
        <f t="shared" ref="H85:M85" ca="1" si="31">+H22</f>
        <v>545.65284616666668</v>
      </c>
      <c r="I85" s="46">
        <f t="shared" ca="1" si="31"/>
        <v>60.748845650714316</v>
      </c>
      <c r="J85" s="46">
        <f t="shared" ca="1" si="31"/>
        <v>79.187002177014335</v>
      </c>
      <c r="K85" s="46">
        <f t="shared" ca="1" si="31"/>
        <v>98.721378794455319</v>
      </c>
      <c r="L85" s="46">
        <f t="shared" ca="1" si="31"/>
        <v>119.41008296736646</v>
      </c>
      <c r="M85" s="46">
        <f t="shared" ca="1" si="31"/>
        <v>136.48739063941002</v>
      </c>
      <c r="N85" s="7"/>
    </row>
    <row r="86" spans="3:14" x14ac:dyDescent="0.25">
      <c r="C86" s="2" t="s">
        <v>126</v>
      </c>
      <c r="D86" s="19" t="s">
        <v>41</v>
      </c>
      <c r="H86" s="230">
        <f t="shared" ref="H86:M86" ca="1" si="32">+H67</f>
        <v>9.5464448784745262E-2</v>
      </c>
      <c r="I86" s="230">
        <f t="shared" ca="1" si="32"/>
        <v>0.11563363535429236</v>
      </c>
      <c r="J86" s="230">
        <f t="shared" ca="1" si="32"/>
        <v>0.1142372939642677</v>
      </c>
      <c r="K86" s="230">
        <f t="shared" ca="1" si="32"/>
        <v>0.11317687871311549</v>
      </c>
      <c r="L86" s="230">
        <f t="shared" ca="1" si="32"/>
        <v>0.11240987514485469</v>
      </c>
      <c r="M86" s="54">
        <f t="shared" ca="1" si="32"/>
        <v>0.11191552571320942</v>
      </c>
      <c r="N86" s="7"/>
    </row>
    <row r="87" spans="3:14" x14ac:dyDescent="0.25">
      <c r="C87" s="2" t="s">
        <v>127</v>
      </c>
      <c r="D87" s="19" t="s">
        <v>308</v>
      </c>
      <c r="H87" s="231">
        <f ca="1">1/(1+H86)</f>
        <v>0.91285481798094958</v>
      </c>
      <c r="I87" s="231">
        <f ca="1">1/(1+I86)</f>
        <v>0.89635160532106894</v>
      </c>
      <c r="J87" s="231">
        <f ca="1">1/(1+J86)</f>
        <v>0.8974748964308753</v>
      </c>
      <c r="K87" s="231">
        <f ca="1">1/(1+K86)</f>
        <v>0.89832983340082184</v>
      </c>
      <c r="L87" s="231">
        <f ca="1">1/(1+L86)</f>
        <v>0.89894922936546473</v>
      </c>
      <c r="M87" s="46">
        <f ca="1">1/(M86-'4. Input_Plan'!V50)</f>
        <v>10.318264206286008</v>
      </c>
    </row>
    <row r="88" spans="3:14" ht="15.75" thickBot="1" x14ac:dyDescent="0.3">
      <c r="C88" s="55" t="s">
        <v>128</v>
      </c>
      <c r="D88" s="56" t="s">
        <v>37</v>
      </c>
      <c r="E88" s="57"/>
      <c r="F88" s="57"/>
      <c r="G88" s="58">
        <f ca="1">+H88</f>
        <v>1577.0638454129087</v>
      </c>
      <c r="H88" s="313">
        <f ca="1">IF(H84&gt;'2. Input_Allgemein'!$E$38,I88,(+H87*(H85+I88)))</f>
        <v>1577.0638454129087</v>
      </c>
      <c r="I88" s="313">
        <f ca="1">IF(I84&gt;'2. Input_Allgemein'!$E$38,J88,(+I87*(I85+J88)))</f>
        <v>1181.9645299469362</v>
      </c>
      <c r="J88" s="313">
        <f ca="1">IF(J84&gt;'2. Input_Allgemein'!$E$38,K88,(+J87*(J85+K88)))</f>
        <v>1257.8905397538135</v>
      </c>
      <c r="K88" s="313">
        <f ca="1">IF(K84&gt;'2. Input_Allgemein'!$E$38,L88,(+K87*(K85+L88)))</f>
        <v>1322.4015489415269</v>
      </c>
      <c r="L88" s="313">
        <f ca="1">IF(L84&gt;'2. Input_Allgemein'!$E$38,M88,(+L87*(L85+M88)))</f>
        <v>1373.3454498616629</v>
      </c>
      <c r="M88" s="314">
        <f ca="1">+M87*M85</f>
        <v>1408.3129574440004</v>
      </c>
      <c r="N88" s="61"/>
    </row>
    <row r="89" spans="3:14" ht="15.75" thickTop="1" x14ac:dyDescent="0.25"/>
    <row r="90" spans="3:14" x14ac:dyDescent="0.25"/>
    <row r="91" spans="3:14" x14ac:dyDescent="0.25">
      <c r="G91" s="302" t="s">
        <v>38</v>
      </c>
      <c r="H91" s="303" t="s">
        <v>39</v>
      </c>
      <c r="I91" s="303"/>
      <c r="J91" s="303"/>
      <c r="K91" s="303"/>
      <c r="L91" s="303"/>
      <c r="M91" s="309" t="s">
        <v>104</v>
      </c>
    </row>
    <row r="92" spans="3:14" x14ac:dyDescent="0.25">
      <c r="G92" s="305">
        <f ca="1">+'3. Input_Historie'!J26</f>
        <v>2026</v>
      </c>
      <c r="H92" s="306">
        <f ca="1">+G92+1</f>
        <v>2027</v>
      </c>
      <c r="I92" s="307">
        <f ca="1">+H92+1</f>
        <v>2028</v>
      </c>
      <c r="J92" s="307">
        <f ca="1">+I92+1</f>
        <v>2029</v>
      </c>
      <c r="K92" s="307">
        <f ca="1">+J92+1</f>
        <v>2030</v>
      </c>
      <c r="L92" s="308">
        <f ca="1">+K92+1</f>
        <v>2031</v>
      </c>
      <c r="M92" s="310">
        <f ca="1">+OFFSET(G92,,'2. Input_Allgemein'!$E$36)+1</f>
        <v>2032</v>
      </c>
    </row>
    <row r="93" spans="3:14" x14ac:dyDescent="0.25">
      <c r="C93" s="2" t="s">
        <v>131</v>
      </c>
      <c r="D93" s="19" t="s">
        <v>37</v>
      </c>
      <c r="H93" s="231">
        <f t="shared" ref="H93:M93" ca="1" si="33">+H36</f>
        <v>64.384810452380833</v>
      </c>
      <c r="I93" s="231">
        <f t="shared" ca="1" si="33"/>
        <v>81.782027525714312</v>
      </c>
      <c r="J93" s="231">
        <f t="shared" ca="1" si="33"/>
        <v>100.2201840520143</v>
      </c>
      <c r="K93" s="231">
        <f t="shared" ca="1" si="33"/>
        <v>119.75456066945534</v>
      </c>
      <c r="L93" s="231">
        <f t="shared" ca="1" si="33"/>
        <v>140.44326484236643</v>
      </c>
      <c r="M93" s="46">
        <f t="shared" ca="1" si="33"/>
        <v>148.74760822869587</v>
      </c>
    </row>
    <row r="94" spans="3:14" x14ac:dyDescent="0.25">
      <c r="C94" s="2" t="s">
        <v>135</v>
      </c>
      <c r="D94" s="19" t="s">
        <v>41</v>
      </c>
      <c r="H94" s="230">
        <f t="shared" ref="H94:M94" ca="1" si="34">+H77</f>
        <v>9.1916465268942066E-2</v>
      </c>
      <c r="I94" s="230">
        <f t="shared" ca="1" si="34"/>
        <v>8.9260507828864313E-2</v>
      </c>
      <c r="J94" s="230">
        <f t="shared" ca="1" si="34"/>
        <v>8.9393982836475538E-2</v>
      </c>
      <c r="K94" s="230">
        <f t="shared" ca="1" si="34"/>
        <v>8.9499040190375814E-2</v>
      </c>
      <c r="L94" s="230">
        <f t="shared" ca="1" si="34"/>
        <v>8.9577111806724841E-2</v>
      </c>
      <c r="M94" s="54">
        <f t="shared" ca="1" si="34"/>
        <v>8.9628389792870564E-2</v>
      </c>
    </row>
    <row r="95" spans="3:14" x14ac:dyDescent="0.25">
      <c r="C95" s="2" t="s">
        <v>127</v>
      </c>
      <c r="D95" s="19" t="s">
        <v>308</v>
      </c>
      <c r="H95" s="231">
        <f ca="1">1/(1+H94)</f>
        <v>0.9158209733138305</v>
      </c>
      <c r="I95" s="231">
        <f ca="1">1/(1+I94)</f>
        <v>0.91805403098035732</v>
      </c>
      <c r="J95" s="231">
        <f ca="1">1/(1+J94)</f>
        <v>0.91794154893005853</v>
      </c>
      <c r="K95" s="231">
        <f ca="1">1/(1+K94)</f>
        <v>0.91785303438657728</v>
      </c>
      <c r="L95" s="231">
        <f ca="1">1/(1+L94)</f>
        <v>0.91778726733880356</v>
      </c>
      <c r="M95" s="46">
        <f ca="1">1/(M94-'4. Input_Plan'!V50)</f>
        <v>13.399726334381295</v>
      </c>
    </row>
    <row r="96" spans="3:14" x14ac:dyDescent="0.25">
      <c r="C96" s="4" t="s">
        <v>139</v>
      </c>
      <c r="D96" s="19" t="s">
        <v>37</v>
      </c>
      <c r="E96" s="8"/>
      <c r="F96" s="8"/>
      <c r="G96" s="106"/>
      <c r="H96" s="231">
        <f ca="1">IF(H92&gt;'2. Input_Allgemein'!$E$38,I96,H95*(H93+I96))</f>
        <v>1677.0638454129098</v>
      </c>
      <c r="I96" s="231">
        <f ca="1">IF(I92&gt;'2. Input_Allgemein'!$E$38,J96,I95*(I93+J96))</f>
        <v>1766.8288156612232</v>
      </c>
      <c r="J96" s="231">
        <f ca="1">IF(J92&gt;'2. Input_Allgemein'!$E$38,K96,J95*(J93+K96))</f>
        <v>1842.7548254681008</v>
      </c>
      <c r="K96" s="231">
        <f ca="1">IF(K92&gt;'2. Input_Allgemein'!$E$38,L96,K95*(K93+L96))</f>
        <v>1907.2658346558144</v>
      </c>
      <c r="L96" s="231">
        <f ca="1">IF(L92&gt;'2. Input_Allgemein'!$E$38,M96,L95*(L93+M96))</f>
        <v>1958.2097355759504</v>
      </c>
      <c r="M96" s="240">
        <f ca="1">+M95*M93</f>
        <v>1993.1772431582879</v>
      </c>
    </row>
    <row r="97" spans="1:13" x14ac:dyDescent="0.25">
      <c r="C97" s="245" t="s">
        <v>540</v>
      </c>
      <c r="D97" s="19" t="s">
        <v>37</v>
      </c>
      <c r="E97" s="8"/>
      <c r="F97" s="8"/>
      <c r="G97" s="106"/>
      <c r="H97" s="231">
        <f t="shared" ref="H97" si="35">+H53</f>
        <v>100</v>
      </c>
      <c r="I97" s="231">
        <f ca="1">+I53</f>
        <v>584.86428571428587</v>
      </c>
      <c r="J97" s="231">
        <f ca="1">+J53</f>
        <v>584.86428571428587</v>
      </c>
      <c r="K97" s="231">
        <f ca="1">+K53</f>
        <v>584.86428571428587</v>
      </c>
      <c r="L97" s="231">
        <f ca="1">+L53</f>
        <v>584.86428571428587</v>
      </c>
      <c r="M97" s="240">
        <f ca="1">+M53</f>
        <v>584.8642857142861</v>
      </c>
    </row>
    <row r="98" spans="1:13" ht="15.75" thickBot="1" x14ac:dyDescent="0.3">
      <c r="C98" s="55" t="s">
        <v>128</v>
      </c>
      <c r="D98" s="56"/>
      <c r="E98" s="57"/>
      <c r="F98" s="57"/>
      <c r="G98" s="58">
        <f ca="1">+H98</f>
        <v>1577.0638454129098</v>
      </c>
      <c r="H98" s="313">
        <f ca="1">IF(H92&gt;'2. Input_Allgemein'!$E$38,I98,H96-H97)</f>
        <v>1577.0638454129098</v>
      </c>
      <c r="I98" s="313">
        <f ca="1">IF(I92&gt;'2. Input_Allgemein'!$E$38,J98,I96-I97)</f>
        <v>1181.9645299469373</v>
      </c>
      <c r="J98" s="313">
        <f ca="1">IF(J92&gt;'2. Input_Allgemein'!$E$38,K98,J96-J97)</f>
        <v>1257.8905397538149</v>
      </c>
      <c r="K98" s="313">
        <f ca="1">IF(K92&gt;'2. Input_Allgemein'!$E$38,L98,K96-K97)</f>
        <v>1322.4015489415285</v>
      </c>
      <c r="L98" s="313">
        <f ca="1">IF(L92&gt;'2. Input_Allgemein'!$E$38,M98,L96-L97)</f>
        <v>1373.3454498616645</v>
      </c>
      <c r="M98" s="314">
        <f ca="1">+M96-M97</f>
        <v>1408.3129574440018</v>
      </c>
    </row>
    <row r="99" spans="1:13" ht="15.75" thickTop="1" x14ac:dyDescent="0.25"/>
    <row r="100" spans="1:13" x14ac:dyDescent="0.25"/>
    <row r="101" spans="1:13" ht="22.5" x14ac:dyDescent="0.35">
      <c r="C101" s="5" t="s">
        <v>556</v>
      </c>
    </row>
    <row r="102" spans="1:13" x14ac:dyDescent="0.25"/>
    <row r="103" spans="1:13" x14ac:dyDescent="0.25">
      <c r="C103" s="2" t="s">
        <v>555</v>
      </c>
      <c r="E103" s="259">
        <f ca="1">+DATE(G92,12,31)</f>
        <v>46387</v>
      </c>
      <c r="G103" s="60"/>
    </row>
    <row r="104" spans="1:13" x14ac:dyDescent="0.25">
      <c r="C104" s="2" t="s">
        <v>14</v>
      </c>
      <c r="E104" s="258">
        <f ca="1">+'2. Input_Allgemein'!E35</f>
        <v>46258</v>
      </c>
    </row>
    <row r="105" spans="1:13" x14ac:dyDescent="0.25">
      <c r="C105" s="2" t="s">
        <v>553</v>
      </c>
      <c r="E105" s="84">
        <f>+E45</f>
        <v>2.75E-2</v>
      </c>
    </row>
    <row r="106" spans="1:13" x14ac:dyDescent="0.25">
      <c r="C106" s="35" t="s">
        <v>554</v>
      </c>
      <c r="D106" s="35"/>
      <c r="E106" s="260">
        <f ca="1">+G98*(1+E105)^((E103-E104)/365)</f>
        <v>1592.2573597678654</v>
      </c>
    </row>
    <row r="107" spans="1:13" x14ac:dyDescent="0.25">
      <c r="G107" s="60"/>
      <c r="H107" s="246">
        <f t="shared" ref="H107:M107" ca="1" si="36">+H88-H98</f>
        <v>0</v>
      </c>
      <c r="I107" s="246">
        <f t="shared" ca="1" si="36"/>
        <v>0</v>
      </c>
      <c r="J107" s="246">
        <f t="shared" ca="1" si="36"/>
        <v>0</v>
      </c>
      <c r="K107" s="246">
        <f t="shared" ca="1" si="36"/>
        <v>0</v>
      </c>
      <c r="L107" s="246">
        <f t="shared" ca="1" si="36"/>
        <v>0</v>
      </c>
      <c r="M107" s="246">
        <f t="shared" ca="1" si="36"/>
        <v>0</v>
      </c>
    </row>
    <row r="108" spans="1:13" x14ac:dyDescent="0.25">
      <c r="G108" s="60"/>
      <c r="H108" s="69" t="str">
        <f t="shared" ref="H108:M108" ca="1" si="37">+IF(ABS(H107)&gt;0.1,"Check","OK")</f>
        <v>OK</v>
      </c>
      <c r="I108" s="69" t="str">
        <f t="shared" ca="1" si="37"/>
        <v>OK</v>
      </c>
      <c r="J108" s="69" t="str">
        <f t="shared" ca="1" si="37"/>
        <v>OK</v>
      </c>
      <c r="K108" s="69" t="str">
        <f t="shared" ca="1" si="37"/>
        <v>OK</v>
      </c>
      <c r="L108" s="69" t="str">
        <f t="shared" ca="1" si="37"/>
        <v>OK</v>
      </c>
      <c r="M108" s="69" t="str">
        <f t="shared" ca="1" si="37"/>
        <v>OK</v>
      </c>
    </row>
    <row r="109" spans="1:13" x14ac:dyDescent="0.25"/>
    <row r="110" spans="1:13" x14ac:dyDescent="0.25"/>
    <row r="111" spans="1:13" x14ac:dyDescent="0.25"/>
    <row r="112" spans="1:13" s="197" customFormat="1" ht="15" customHeight="1" x14ac:dyDescent="0.25">
      <c r="A112" s="197" t="s">
        <v>410</v>
      </c>
    </row>
  </sheetData>
  <conditionalFormatting sqref="H107:M108">
    <cfRule type="containsText" dxfId="8" priority="24" operator="containsText" text="OK">
      <formula>NOT(ISERROR(SEARCH("OK",H107)))</formula>
    </cfRule>
    <cfRule type="containsText" dxfId="7" priority="25" operator="containsText" text="CHECK">
      <formula>NOT(ISERROR(SEARCH("CHECK",H107)))</formula>
    </cfRule>
  </conditionalFormatting>
  <pageMargins left="0.7" right="0.7" top="0.78740157499999996" bottom="0.78740157499999996" header="0.3" footer="0.3"/>
  <pageSetup paperSize="9" orientation="portrait" r:id="rId1"/>
  <cellWatches>
    <cellWatch r="G88"/>
    <cellWatch r="G98"/>
  </cellWatches>
  <ignoredErrors>
    <ignoredError sqref="G20"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92" id="{00000000-000E-0000-0B00-000040000000}">
            <xm:f>H$11&gt;'2. Input_Allgemein'!$E$38</xm:f>
            <x14:dxf>
              <font>
                <color theme="1" tint="0.499984740745262"/>
              </font>
              <fill>
                <patternFill patternType="lightTrellis">
                  <bgColor theme="2" tint="-9.9948118533890809E-2"/>
                </patternFill>
              </fill>
            </x14:dxf>
          </x14:cfRule>
          <xm:sqref>H12:L22 O12:S22 O28:S28 H28:L36 O31:S36 H45:L47 H63:L67 H70:L77 H85:L88 H93:L98</xm:sqref>
        </x14:conditionalFormatting>
        <x14:conditionalFormatting xmlns:xm="http://schemas.microsoft.com/office/excel/2006/main">
          <x14:cfRule type="expression" priority="1" id="{DC12CD47-D1D3-49FB-92EE-924603A17D2B}">
            <xm:f>H$11&gt;'2. Input_Allgemein'!$E$38</xm:f>
            <x14:dxf>
              <font>
                <color theme="1" tint="0.499984740745262"/>
              </font>
              <fill>
                <patternFill patternType="lightTrellis">
                  <bgColor theme="2" tint="-9.9948118533890809E-2"/>
                </patternFill>
              </fill>
            </x14:dxf>
          </x14:cfRule>
          <xm:sqref>H50:L53 H55:L60</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818CC-FD8F-488A-A207-F0AC8A50BCBD}">
  <sheetPr>
    <tabColor theme="0"/>
  </sheetPr>
  <dimension ref="A1:AC116"/>
  <sheetViews>
    <sheetView showGridLines="0" topLeftCell="A77" zoomScaleNormal="100" workbookViewId="0"/>
  </sheetViews>
  <sheetFormatPr baseColWidth="10" defaultColWidth="0" defaultRowHeight="15" customHeight="1" zeroHeight="1" x14ac:dyDescent="0.25"/>
  <cols>
    <col min="1" max="2" width="2.28515625" style="2" customWidth="1"/>
    <col min="3" max="3" width="75.7109375" style="2" customWidth="1"/>
    <col min="4" max="4" width="11.7109375" style="96" customWidth="1"/>
    <col min="5" max="5" width="11.42578125" style="2" customWidth="1"/>
    <col min="6" max="17" width="11.7109375" style="2" customWidth="1"/>
    <col min="18" max="18" width="2.28515625" style="2" customWidth="1"/>
    <col min="19" max="21" width="11.42578125" style="2" customWidth="1"/>
    <col min="22" max="22" width="2.28515625" style="2" customWidth="1"/>
    <col min="23" max="24" width="11.42578125" style="2" hidden="1" customWidth="1"/>
    <col min="25" max="29" width="0" style="2" hidden="1" customWidth="1"/>
    <col min="30" max="16384" width="11.42578125" style="2" hidden="1"/>
  </cols>
  <sheetData>
    <row r="1" spans="1:21" s="1" customFormat="1" ht="23.25" x14ac:dyDescent="0.35">
      <c r="A1" s="1" t="str">
        <f>+"Plausibilisierung als neutraler Gutachter in Anlehnung an IDW S 1 i.d.F. 2026 für "&amp;'1. Annahmen'!E9</f>
        <v>Plausibilisierung als neutraler Gutachter in Anlehnung an IDW S 1 i.d.F. 2026 für Beispiel AG</v>
      </c>
      <c r="D1" s="95"/>
    </row>
    <row r="2" spans="1:21" x14ac:dyDescent="0.25"/>
    <row r="3" spans="1:21" x14ac:dyDescent="0.25"/>
    <row r="4" spans="1:21" s="3" customFormat="1" ht="27" thickBot="1" x14ac:dyDescent="0.45">
      <c r="A4" s="3" t="s">
        <v>597</v>
      </c>
      <c r="D4" s="97"/>
    </row>
    <row r="5" spans="1:21" x14ac:dyDescent="0.25"/>
    <row r="6" spans="1:21" x14ac:dyDescent="0.25"/>
    <row r="7" spans="1:21" x14ac:dyDescent="0.25">
      <c r="C7" s="102" t="s">
        <v>260</v>
      </c>
    </row>
    <row r="8" spans="1:21" x14ac:dyDescent="0.25">
      <c r="C8" s="2" t="s">
        <v>266</v>
      </c>
      <c r="D8" s="96" t="s">
        <v>259</v>
      </c>
      <c r="G8" s="272">
        <f>+AVERAGE('4. Input_Plan'!G85:J85)</f>
        <v>0.30905987602986262</v>
      </c>
      <c r="J8" s="39"/>
    </row>
    <row r="9" spans="1:21" x14ac:dyDescent="0.25">
      <c r="C9" s="2" t="s">
        <v>265</v>
      </c>
      <c r="D9" s="96" t="s">
        <v>41</v>
      </c>
      <c r="G9" s="272">
        <f ca="1">+'4. Input_Plan'!P85</f>
        <v>0.26206740133305645</v>
      </c>
      <c r="J9" s="39"/>
    </row>
    <row r="10" spans="1:21" x14ac:dyDescent="0.25"/>
    <row r="11" spans="1:21" x14ac:dyDescent="0.25">
      <c r="C11" s="2" t="s">
        <v>562</v>
      </c>
      <c r="D11" s="96" t="s">
        <v>276</v>
      </c>
      <c r="G11" s="154">
        <f ca="1">+'(AUSBLENDEN) Bewertung'!G88/'(AUSBLENDEN) Bewertung'!G12</f>
        <v>7.6544111571569715</v>
      </c>
    </row>
    <row r="12" spans="1:21" x14ac:dyDescent="0.25">
      <c r="C12" s="2" t="str">
        <f ca="1">+"EBIT Multiple - ab Jahr "&amp; '(AUSBLENDEN) Bewertung'!M92&amp;" ff."</f>
        <v>EBIT Multiple - ab Jahr 2032 ff.</v>
      </c>
      <c r="D12" s="96" t="s">
        <v>276</v>
      </c>
      <c r="G12" s="154">
        <f ca="1">+'(AUSBLENDEN) Bewertung'!G88/'(AUSBLENDEN) Bewertung'!M12</f>
        <v>7.1836185044068914</v>
      </c>
    </row>
    <row r="13" spans="1:21" ht="15.75" thickBot="1" x14ac:dyDescent="0.3"/>
    <row r="14" spans="1:21" x14ac:dyDescent="0.25">
      <c r="C14" s="284" t="s">
        <v>261</v>
      </c>
      <c r="D14" s="285"/>
      <c r="E14" s="286"/>
      <c r="F14" s="286"/>
      <c r="G14" s="286"/>
      <c r="H14" s="286"/>
      <c r="I14" s="286"/>
      <c r="J14" s="286"/>
      <c r="K14" s="286"/>
      <c r="L14" s="286"/>
      <c r="M14" s="286"/>
      <c r="N14" s="286"/>
      <c r="O14" s="286"/>
      <c r="P14" s="286"/>
      <c r="Q14" s="286"/>
      <c r="R14" s="287"/>
      <c r="S14" s="359" t="s">
        <v>558</v>
      </c>
      <c r="T14" s="360"/>
      <c r="U14" s="361"/>
    </row>
    <row r="15" spans="1:21" x14ac:dyDescent="0.25"/>
    <row r="16" spans="1:21" x14ac:dyDescent="0.25">
      <c r="C16" s="67"/>
      <c r="E16" s="100"/>
      <c r="G16" s="45"/>
      <c r="H16" s="105"/>
      <c r="I16" s="105"/>
      <c r="J16" s="105"/>
      <c r="K16" s="105"/>
    </row>
    <row r="17" spans="3:21" x14ac:dyDescent="0.25">
      <c r="C17" s="102" t="s">
        <v>262</v>
      </c>
    </row>
    <row r="18" spans="3:21" x14ac:dyDescent="0.25">
      <c r="C18" s="2" t="s">
        <v>264</v>
      </c>
      <c r="D18" s="96" t="s">
        <v>275</v>
      </c>
      <c r="G18" s="60">
        <f ca="1">+'(AUSBLENDEN) Bewertung'!M28+'(AUSBLENDEN) Bewertung'!M30</f>
        <v>157.90136546329407</v>
      </c>
    </row>
    <row r="19" spans="3:21" x14ac:dyDescent="0.25">
      <c r="C19" s="2" t="s">
        <v>565</v>
      </c>
      <c r="D19" s="96" t="s">
        <v>275</v>
      </c>
      <c r="G19" s="60">
        <f ca="1">+'(AUSBLENDEN) Bewertung'!M28+'(AUSBLENDEN) Bewertung'!M30-(+'(AUSBLENDEN) Bewertung'!L28+'(AUSBLENDEN) Bewertung'!L30)</f>
        <v>4.049970219141926</v>
      </c>
    </row>
    <row r="20" spans="3:21" x14ac:dyDescent="0.25">
      <c r="C20" s="2" t="s">
        <v>566</v>
      </c>
      <c r="D20" s="96" t="s">
        <v>275</v>
      </c>
      <c r="G20" s="60">
        <f ca="1">-SUM('(AUSBLENDEN) Bewertung'!M32:M34)</f>
        <v>9.1537572345982312</v>
      </c>
    </row>
    <row r="21" spans="3:21" x14ac:dyDescent="0.25">
      <c r="C21" s="2" t="s">
        <v>567</v>
      </c>
      <c r="D21" s="96" t="s">
        <v>41</v>
      </c>
      <c r="G21" s="118">
        <f ca="1">+G20/G18</f>
        <v>5.7971362107860455E-2</v>
      </c>
    </row>
    <row r="22" spans="3:21" x14ac:dyDescent="0.25">
      <c r="C22" s="61"/>
      <c r="G22" s="118"/>
    </row>
    <row r="23" spans="3:21" x14ac:dyDescent="0.25">
      <c r="C23" s="149" t="s">
        <v>270</v>
      </c>
      <c r="D23" s="109" t="s">
        <v>41</v>
      </c>
      <c r="E23" s="120"/>
      <c r="F23" s="120"/>
      <c r="G23" s="150">
        <f ca="1">IF(+G19/G20&lt;0,0,G19/G20)</f>
        <v>0.44243801920312603</v>
      </c>
    </row>
    <row r="24" spans="3:21" x14ac:dyDescent="0.25">
      <c r="C24" s="262" t="s">
        <v>564</v>
      </c>
      <c r="D24" s="96" t="s">
        <v>41</v>
      </c>
      <c r="G24" s="263">
        <f ca="1">+G23*G21</f>
        <v>2.5648734621508937E-2</v>
      </c>
    </row>
    <row r="25" spans="3:21" ht="5.0999999999999996" customHeight="1" x14ac:dyDescent="0.25">
      <c r="C25" s="262"/>
      <c r="G25" s="263"/>
    </row>
    <row r="26" spans="3:21" x14ac:dyDescent="0.25">
      <c r="C26" s="151" t="s">
        <v>271</v>
      </c>
      <c r="D26" s="152" t="s">
        <v>41</v>
      </c>
      <c r="E26" s="94"/>
      <c r="F26" s="94"/>
      <c r="G26" s="153">
        <f ca="1">+'(AUSBLENDEN) Bewertung'!M77</f>
        <v>8.9628389792870564E-2</v>
      </c>
    </row>
    <row r="27" spans="3:21" ht="15.75" thickBot="1" x14ac:dyDescent="0.3"/>
    <row r="28" spans="3:21" x14ac:dyDescent="0.25">
      <c r="C28" s="284" t="s">
        <v>261</v>
      </c>
      <c r="D28" s="285"/>
      <c r="E28" s="286"/>
      <c r="F28" s="286"/>
      <c r="G28" s="286"/>
      <c r="H28" s="286"/>
      <c r="I28" s="286"/>
      <c r="J28" s="286"/>
      <c r="K28" s="286"/>
      <c r="L28" s="286"/>
      <c r="M28" s="286"/>
      <c r="N28" s="286"/>
      <c r="O28" s="286"/>
      <c r="P28" s="286"/>
      <c r="Q28" s="286"/>
      <c r="R28" s="287"/>
      <c r="S28" s="359" t="s">
        <v>558</v>
      </c>
      <c r="T28" s="360"/>
      <c r="U28" s="361"/>
    </row>
    <row r="29" spans="3:21" x14ac:dyDescent="0.25">
      <c r="C29" s="8"/>
    </row>
    <row r="30" spans="3:21" x14ac:dyDescent="0.25"/>
    <row r="31" spans="3:21" x14ac:dyDescent="0.25">
      <c r="C31" s="102" t="s">
        <v>559</v>
      </c>
    </row>
    <row r="32" spans="3:21" x14ac:dyDescent="0.25">
      <c r="C32" s="2" t="s">
        <v>560</v>
      </c>
      <c r="D32" s="96" t="s">
        <v>570</v>
      </c>
      <c r="G32" s="60">
        <f>+'4. Input_Plan'!J69</f>
        <v>236.03333333333342</v>
      </c>
    </row>
    <row r="33" spans="1:21" x14ac:dyDescent="0.25">
      <c r="C33" s="2" t="s">
        <v>568</v>
      </c>
      <c r="D33" s="96" t="s">
        <v>570</v>
      </c>
      <c r="G33" s="60">
        <f>+AVERAGE('4. Input_Plan'!H183:J183)</f>
        <v>104.78888888888893</v>
      </c>
    </row>
    <row r="34" spans="1:21" ht="5.0999999999999996" customHeight="1" x14ac:dyDescent="0.25">
      <c r="G34" s="61"/>
    </row>
    <row r="35" spans="1:21" x14ac:dyDescent="0.25">
      <c r="C35" s="265" t="s">
        <v>572</v>
      </c>
      <c r="D35" s="266"/>
      <c r="E35" s="193"/>
      <c r="F35" s="193"/>
      <c r="G35" s="274">
        <f>+G33/G32</f>
        <v>0.44395800969731208</v>
      </c>
    </row>
    <row r="36" spans="1:21" x14ac:dyDescent="0.25">
      <c r="G36" s="264"/>
    </row>
    <row r="37" spans="1:21" x14ac:dyDescent="0.25">
      <c r="C37" s="2" t="s">
        <v>561</v>
      </c>
      <c r="D37" s="96" t="str">
        <f ca="1">+"ab Jahr "&amp; '(AUSBLENDEN) Bewertung'!M92&amp;" f."</f>
        <v>ab Jahr 2032 f.</v>
      </c>
      <c r="G37" s="60">
        <f ca="1">+'4. Input_Plan'!P69</f>
        <v>381.01909604255349</v>
      </c>
    </row>
    <row r="38" spans="1:21" x14ac:dyDescent="0.25">
      <c r="C38" s="2" t="s">
        <v>569</v>
      </c>
      <c r="D38" s="96" t="str">
        <f ca="1">+"ab Jahr "&amp; '(AUSBLENDEN) Bewertung'!M92&amp;" f."</f>
        <v>ab Jahr 2032 f.</v>
      </c>
      <c r="G38" s="60">
        <f ca="1">+'(AUSBLENDEN) Bewertung'!M36</f>
        <v>148.74760822869587</v>
      </c>
    </row>
    <row r="39" spans="1:21" ht="5.0999999999999996" customHeight="1" x14ac:dyDescent="0.25">
      <c r="G39" s="61"/>
    </row>
    <row r="40" spans="1:21" x14ac:dyDescent="0.25">
      <c r="C40" s="265" t="s">
        <v>571</v>
      </c>
      <c r="D40" s="266"/>
      <c r="E40" s="193"/>
      <c r="F40" s="193"/>
      <c r="G40" s="267">
        <f ca="1">+G38/G37</f>
        <v>0.39039410300864091</v>
      </c>
    </row>
    <row r="41" spans="1:21" ht="15.75" thickBot="1" x14ac:dyDescent="0.3"/>
    <row r="42" spans="1:21" x14ac:dyDescent="0.25">
      <c r="C42" s="284" t="s">
        <v>261</v>
      </c>
      <c r="D42" s="285"/>
      <c r="E42" s="286"/>
      <c r="F42" s="286"/>
      <c r="G42" s="286"/>
      <c r="H42" s="286"/>
      <c r="I42" s="286"/>
      <c r="J42" s="286"/>
      <c r="K42" s="286"/>
      <c r="L42" s="286"/>
      <c r="M42" s="286"/>
      <c r="N42" s="286"/>
      <c r="O42" s="286"/>
      <c r="P42" s="286"/>
      <c r="Q42" s="286"/>
      <c r="R42" s="287"/>
      <c r="S42" s="359" t="s">
        <v>558</v>
      </c>
      <c r="T42" s="360"/>
      <c r="U42" s="361"/>
    </row>
    <row r="43" spans="1:21" x14ac:dyDescent="0.25"/>
    <row r="44" spans="1:21" x14ac:dyDescent="0.25"/>
    <row r="45" spans="1:21" s="3" customFormat="1" ht="27" thickBot="1" x14ac:dyDescent="0.45">
      <c r="A45" s="3" t="s">
        <v>598</v>
      </c>
      <c r="D45" s="97"/>
    </row>
    <row r="46" spans="1:21" x14ac:dyDescent="0.25"/>
    <row r="47" spans="1:21" x14ac:dyDescent="0.25">
      <c r="G47" s="301"/>
      <c r="H47" s="301"/>
      <c r="I47" s="301"/>
      <c r="J47" s="302" t="s">
        <v>38</v>
      </c>
      <c r="K47" s="303" t="s">
        <v>39</v>
      </c>
      <c r="L47" s="303"/>
      <c r="M47" s="303"/>
      <c r="N47" s="303"/>
      <c r="O47" s="303"/>
      <c r="P47" s="309" t="s">
        <v>104</v>
      </c>
    </row>
    <row r="48" spans="1:21" x14ac:dyDescent="0.25">
      <c r="E48" s="61"/>
      <c r="G48" s="304">
        <f ca="1">+'4. Input_Plan'!G57</f>
        <v>2023</v>
      </c>
      <c r="H48" s="304">
        <f ca="1">+'4. Input_Plan'!H57</f>
        <v>2024</v>
      </c>
      <c r="I48" s="304">
        <f ca="1">+'4. Input_Plan'!I57</f>
        <v>2025</v>
      </c>
      <c r="J48" s="305">
        <f ca="1">+'4. Input_Plan'!J57</f>
        <v>2026</v>
      </c>
      <c r="K48" s="306">
        <f ca="1">+'4. Input_Plan'!K57</f>
        <v>2027</v>
      </c>
      <c r="L48" s="307">
        <f ca="1">+'4. Input_Plan'!L57</f>
        <v>2028</v>
      </c>
      <c r="M48" s="307">
        <f ca="1">+'4. Input_Plan'!M57</f>
        <v>2029</v>
      </c>
      <c r="N48" s="307">
        <f ca="1">+'4. Input_Plan'!N57</f>
        <v>2030</v>
      </c>
      <c r="O48" s="308">
        <f ca="1">+'4. Input_Plan'!O57</f>
        <v>2031</v>
      </c>
      <c r="P48" s="310">
        <f ca="1">+OFFSET(J48,,'2. Input_Allgemein'!$E$36)+1</f>
        <v>2032</v>
      </c>
    </row>
    <row r="49" spans="3:21" x14ac:dyDescent="0.25">
      <c r="C49" s="102" t="s">
        <v>575</v>
      </c>
      <c r="P49" s="148"/>
    </row>
    <row r="50" spans="3:21" x14ac:dyDescent="0.25">
      <c r="C50" s="2" t="s">
        <v>230</v>
      </c>
      <c r="D50" s="6" t="s">
        <v>41</v>
      </c>
      <c r="G50" s="87"/>
      <c r="H50" s="268">
        <f>+'4. Input_Plan'!H58/'4. Input_Plan'!G58-1</f>
        <v>0</v>
      </c>
      <c r="I50" s="268">
        <f>+'4. Input_Plan'!I58/'4. Input_Plan'!H58-1</f>
        <v>0.35251798561151082</v>
      </c>
      <c r="J50" s="268">
        <f>+'4. Input_Plan'!J58/'4. Input_Plan'!I58-1</f>
        <v>3.1914893617021267E-2</v>
      </c>
      <c r="K50" s="268">
        <f>+'4. Input_Plan'!K58/'4. Input_Plan'!J58-1</f>
        <v>5.0000000000000044E-2</v>
      </c>
      <c r="L50" s="268">
        <f>+'4. Input_Plan'!L58/'4. Input_Plan'!K58-1</f>
        <v>5.0000000000000044E-2</v>
      </c>
      <c r="M50" s="268">
        <f>+'4. Input_Plan'!M58/'4. Input_Plan'!L58-1</f>
        <v>5.0000000000000044E-2</v>
      </c>
      <c r="N50" s="268">
        <f>+'4. Input_Plan'!N58/'4. Input_Plan'!M58-1</f>
        <v>5.0000000000000044E-2</v>
      </c>
      <c r="O50" s="268">
        <f>+'4. Input_Plan'!O58/'4. Input_Plan'!N58-1</f>
        <v>5.0000000000000044E-2</v>
      </c>
      <c r="P50" s="268">
        <f ca="1">+'4. Input_Plan'!P58/+OFFSET('4. Input_Plan'!J58,,'2. Input_Allgemein'!$E$36)-1</f>
        <v>1.4999999999999902E-2</v>
      </c>
    </row>
    <row r="51" spans="3:21" x14ac:dyDescent="0.25">
      <c r="C51" s="2" t="s">
        <v>579</v>
      </c>
      <c r="D51" s="6" t="s">
        <v>41</v>
      </c>
      <c r="G51" s="87"/>
      <c r="H51" s="283"/>
      <c r="I51" s="283"/>
      <c r="J51" s="283"/>
      <c r="K51" s="268">
        <f ca="1">(+'4. Input_Plan'!K58/'4. Input_Plan'!$J$58)^(1/(K48-$J$48))-1</f>
        <v>5.0000000000000044E-2</v>
      </c>
      <c r="L51" s="268">
        <f ca="1">(+'4. Input_Plan'!L58/'4. Input_Plan'!$J$58)^(1/(L48-$J$48))-1</f>
        <v>5.0000000000000044E-2</v>
      </c>
      <c r="M51" s="268">
        <f ca="1">(+'4. Input_Plan'!M58/'4. Input_Plan'!$J$58)^(1/(M48-$J$48))-1</f>
        <v>5.0000000000000044E-2</v>
      </c>
      <c r="N51" s="268">
        <f ca="1">(+'4. Input_Plan'!N58/'4. Input_Plan'!$J$58)^(1/(N48-$J$48))-1</f>
        <v>5.0000000000000044E-2</v>
      </c>
      <c r="O51" s="268">
        <f ca="1">(+'4. Input_Plan'!O58/'4. Input_Plan'!$J$58)^(1/(O48-$J$48))-1</f>
        <v>5.0000000000000044E-2</v>
      </c>
      <c r="P51" s="268">
        <f ca="1">(+'4. Input_Plan'!P58/'4. Input_Plan'!$J$58)^(1/(P48-$J$48))-1</f>
        <v>4.4083957780345129E-2</v>
      </c>
    </row>
    <row r="52" spans="3:21" ht="5.0999999999999996" customHeight="1" x14ac:dyDescent="0.25">
      <c r="G52" s="61"/>
      <c r="H52" s="194"/>
      <c r="I52" s="194"/>
      <c r="J52" s="194"/>
      <c r="K52" s="194"/>
      <c r="L52" s="194"/>
      <c r="M52" s="194"/>
      <c r="N52" s="194"/>
      <c r="O52" s="194"/>
      <c r="P52" s="194"/>
    </row>
    <row r="53" spans="3:21" x14ac:dyDescent="0.25">
      <c r="C53" s="2" t="s">
        <v>231</v>
      </c>
      <c r="D53" s="6" t="s">
        <v>41</v>
      </c>
      <c r="G53" s="268">
        <f>+'4. Input_Plan'!G61/'4. Input_Plan'!G58</f>
        <v>0.89999999999999991</v>
      </c>
      <c r="H53" s="268">
        <f>+'4. Input_Plan'!H61/'4. Input_Plan'!H58</f>
        <v>0.89999999999999991</v>
      </c>
      <c r="I53" s="268">
        <f>+'4. Input_Plan'!I61/'4. Input_Plan'!I58</f>
        <v>0.9</v>
      </c>
      <c r="J53" s="268">
        <f>+'4. Input_Plan'!J61/'4. Input_Plan'!J58</f>
        <v>0.9</v>
      </c>
      <c r="K53" s="268">
        <f>+'4. Input_Plan'!K61/'4. Input_Plan'!K58</f>
        <v>0.90380952380952373</v>
      </c>
      <c r="L53" s="268">
        <f>+'4. Input_Plan'!L61/'4. Input_Plan'!L58</f>
        <v>0.9074739229024944</v>
      </c>
      <c r="M53" s="268">
        <f>+'4. Input_Plan'!M61/'4. Input_Plan'!M58</f>
        <v>0.91099872583954222</v>
      </c>
      <c r="N53" s="268">
        <f>+'4. Input_Plan'!N61/'4. Input_Plan'!N58</f>
        <v>0.9143892505694643</v>
      </c>
      <c r="O53" s="268">
        <f>+'4. Input_Plan'!O61/'4. Input_Plan'!O58</f>
        <v>0.91765061245253243</v>
      </c>
      <c r="P53" s="268">
        <f ca="1">+'4. Input_Plan'!P61/'4. Input_Plan'!P58</f>
        <v>0.91765061245253243</v>
      </c>
    </row>
    <row r="54" spans="3:21" x14ac:dyDescent="0.25">
      <c r="C54" s="2" t="s">
        <v>228</v>
      </c>
      <c r="D54" s="6" t="s">
        <v>41</v>
      </c>
      <c r="G54" s="268">
        <f>+'4. Input_Plan'!G69/'4. Input_Plan'!G58</f>
        <v>0.36499999999999988</v>
      </c>
      <c r="H54" s="268">
        <f>+'4. Input_Plan'!H69/'4. Input_Plan'!H58</f>
        <v>0.36499999999999988</v>
      </c>
      <c r="I54" s="268">
        <f>+'4. Input_Plan'!I69/'4. Input_Plan'!I58</f>
        <v>0.36499999999999999</v>
      </c>
      <c r="J54" s="268">
        <f>+'4. Input_Plan'!J69/'4. Input_Plan'!J58</f>
        <v>0.3650000000000001</v>
      </c>
      <c r="K54" s="268">
        <f>+'4. Input_Plan'!K69/'4. Input_Plan'!K58</f>
        <v>0.38409523809523799</v>
      </c>
      <c r="L54" s="268">
        <f>+'4. Input_Plan'!L69/'4. Input_Plan'!L58</f>
        <v>0.40260861678004539</v>
      </c>
      <c r="M54" s="268">
        <f>+'4. Input_Plan'!M69/'4. Input_Plan'!M58</f>
        <v>0.42055814274916314</v>
      </c>
      <c r="N54" s="268">
        <f>+'4. Input_Plan'!N69/'4. Input_Plan'!N58</f>
        <v>0.43796125556738197</v>
      </c>
      <c r="O54" s="268">
        <f>+'4. Input_Plan'!O69/'4. Input_Plan'!O58</f>
        <v>0.45483484587908102</v>
      </c>
      <c r="P54" s="268">
        <f ca="1">+'4. Input_Plan'!P69/'4. Input_Plan'!P58</f>
        <v>0.45483484587908102</v>
      </c>
    </row>
    <row r="55" spans="3:21" ht="5.0999999999999996" customHeight="1" x14ac:dyDescent="0.25">
      <c r="G55" s="194"/>
      <c r="H55" s="194"/>
      <c r="I55" s="194"/>
      <c r="J55" s="194"/>
      <c r="K55" s="194"/>
      <c r="L55" s="194"/>
      <c r="M55" s="194"/>
      <c r="N55" s="194"/>
      <c r="O55" s="194"/>
      <c r="P55" s="194"/>
    </row>
    <row r="56" spans="3:21" x14ac:dyDescent="0.25">
      <c r="C56" s="2" t="s">
        <v>229</v>
      </c>
      <c r="D56" s="6" t="s">
        <v>41</v>
      </c>
      <c r="G56" s="268">
        <f>+'4. Input_Plan'!G84/'4. Input_Plan'!G58</f>
        <v>0.30025179856115097</v>
      </c>
      <c r="H56" s="268">
        <f>+'4. Input_Plan'!H84/'4. Input_Plan'!H58</f>
        <v>0.30025179856115097</v>
      </c>
      <c r="I56" s="268">
        <f>+'4. Input_Plan'!I84/'4. Input_Plan'!I58</f>
        <v>0.31712765957446809</v>
      </c>
      <c r="J56" s="268">
        <f>+'4. Input_Plan'!J84/'4. Input_Plan'!J58</f>
        <v>0.31860824742268051</v>
      </c>
      <c r="K56" s="268">
        <f ca="1">+'4. Input_Plan'!K84/'4. Input_Plan'!K58</f>
        <v>0.27557430394838339</v>
      </c>
      <c r="L56" s="268">
        <f ca="1">+'4. Input_Plan'!L84/'4. Input_Plan'!L58</f>
        <v>0.27068391759256483</v>
      </c>
      <c r="M56" s="268">
        <f ca="1">+'4. Input_Plan'!M84/'4. Input_Plan'!M58</f>
        <v>0.26634414352299124</v>
      </c>
      <c r="N56" s="268">
        <f ca="1">+'4. Input_Plan'!N84/'4. Input_Plan'!N58</f>
        <v>0.26251935154245626</v>
      </c>
      <c r="O56" s="268">
        <f ca="1">+'4. Input_Plan'!O84/'4. Input_Plan'!O58</f>
        <v>0.2591758896648661</v>
      </c>
      <c r="P56" s="268">
        <f ca="1">+'4. Input_Plan'!P84/'4. Input_Plan'!P58</f>
        <v>0.26206740133305645</v>
      </c>
    </row>
    <row r="57" spans="3:21" x14ac:dyDescent="0.25">
      <c r="C57" s="2" t="s">
        <v>578</v>
      </c>
      <c r="D57" s="6" t="s">
        <v>41</v>
      </c>
      <c r="G57" s="283"/>
      <c r="H57" s="283"/>
      <c r="I57" s="283"/>
      <c r="J57" s="283"/>
      <c r="K57" s="268">
        <f ca="1">(+'4. Input_Plan'!K84/'4. Input_Plan'!$J$84)^(1/(K48-$J$48))-1</f>
        <v>-9.1821942820163649E-2</v>
      </c>
      <c r="L57" s="268">
        <f ca="1">(+'4. Input_Plan'!L84/'4. Input_Plan'!$J$84)^(1/(L48-$J$48))-1</f>
        <v>-3.2185735294602114E-2</v>
      </c>
      <c r="M57" s="268">
        <f ca="1">(+'4. Input_Plan'!M84/'4. Input_Plan'!$J$84)^(1/(M48-$J$48))-1</f>
        <v>-1.087462106663406E-2</v>
      </c>
      <c r="N57" s="268">
        <f ca="1">(+'4. Input_Plan'!N84/'4. Input_Plan'!$J$84)^(1/(N48-$J$48))-1</f>
        <v>3.8086565190065258E-4</v>
      </c>
      <c r="O57" s="268">
        <f ca="1">(+'4. Input_Plan'!O84/'4. Input_Plan'!$J$84)^(1/(O48-$J$48))-1</f>
        <v>7.5272844662745975E-3</v>
      </c>
      <c r="P57" s="268">
        <f ca="1">(+'4. Input_Plan'!P84/'4. Input_Plan'!$J$84)^(1/(P48-$J$48))-1</f>
        <v>1.0635977018315979E-2</v>
      </c>
    </row>
    <row r="58" spans="3:21" ht="5.0999999999999996" customHeight="1" x14ac:dyDescent="0.25">
      <c r="G58" s="194"/>
      <c r="H58" s="194"/>
      <c r="I58" s="194"/>
      <c r="J58" s="194"/>
      <c r="K58" s="194"/>
      <c r="L58" s="194"/>
      <c r="M58" s="194"/>
      <c r="N58" s="194"/>
      <c r="O58" s="194"/>
      <c r="P58" s="194"/>
    </row>
    <row r="59" spans="3:21" x14ac:dyDescent="0.25">
      <c r="C59" s="2" t="s">
        <v>248</v>
      </c>
      <c r="D59" s="6" t="s">
        <v>41</v>
      </c>
      <c r="G59" s="268">
        <f>+'4. Input_Plan'!G89/'4. Input_Plan'!G58</f>
        <v>0.29525179856115097</v>
      </c>
      <c r="H59" s="268">
        <f>+'4. Input_Plan'!H89/'4. Input_Plan'!H58</f>
        <v>0.29525179856115097</v>
      </c>
      <c r="I59" s="268">
        <f>+'4. Input_Plan'!I89/'4. Input_Plan'!I58</f>
        <v>0.31212765957446809</v>
      </c>
      <c r="J59" s="268">
        <f>+'4. Input_Plan'!J89/'4. Input_Plan'!J58</f>
        <v>0.31360824742268051</v>
      </c>
      <c r="K59" s="268">
        <f ca="1">+'4. Input_Plan'!K89/'4. Input_Plan'!K58</f>
        <v>0.26821053369801523</v>
      </c>
      <c r="L59" s="268">
        <f ca="1">+'4. Input_Plan'!L89/'4. Input_Plan'!L58</f>
        <v>0.22966671542451059</v>
      </c>
      <c r="M59" s="268">
        <f ca="1">+'4. Input_Plan'!M89/'4. Input_Plan'!M58</f>
        <v>0.22728014145817765</v>
      </c>
      <c r="N59" s="268">
        <f ca="1">+'4. Input_Plan'!N89/'4. Input_Plan'!N58</f>
        <v>0.22531554005215765</v>
      </c>
      <c r="O59" s="268">
        <f ca="1">+'4. Input_Plan'!O89/'4. Input_Plan'!O58</f>
        <v>0.22374368824553409</v>
      </c>
      <c r="P59" s="268">
        <f ca="1">+'4. Input_Plan'!P89/'4. Input_Plan'!P58</f>
        <v>0.22715882850612829</v>
      </c>
    </row>
    <row r="60" spans="3:21" x14ac:dyDescent="0.25">
      <c r="C60" s="2" t="s">
        <v>247</v>
      </c>
      <c r="D60" s="6" t="s">
        <v>41</v>
      </c>
      <c r="G60" s="268">
        <f>+'4. Input_Plan'!G93/'4. Input_Plan'!G58</f>
        <v>0.23050359712230203</v>
      </c>
      <c r="H60" s="268">
        <f>+'4. Input_Plan'!H93/'4. Input_Plan'!H58</f>
        <v>0.21971223021582723</v>
      </c>
      <c r="I60" s="268">
        <f>+'4. Input_Plan'!I93/'4. Input_Plan'!I58</f>
        <v>0.24829787234042555</v>
      </c>
      <c r="J60" s="268">
        <f>+'4. Input_Plan'!J93/'4. Input_Plan'!J58</f>
        <v>0.25175257731958772</v>
      </c>
      <c r="K60" s="268">
        <f ca="1">+'4. Input_Plan'!K93/'4. Input_Plan'!K58</f>
        <v>0.19291042636229744</v>
      </c>
      <c r="L60" s="268">
        <f ca="1">+'4. Input_Plan'!L93/'4. Input_Plan'!L58</f>
        <v>0.16518778506907925</v>
      </c>
      <c r="M60" s="268">
        <f ca="1">+'4. Input_Plan'!M93/'4. Input_Plan'!M58</f>
        <v>0.16347124174379429</v>
      </c>
      <c r="N60" s="268">
        <f ca="1">+'4. Input_Plan'!N93/'4. Input_Plan'!N58</f>
        <v>0.16205820218251438</v>
      </c>
      <c r="O60" s="268">
        <f ca="1">+'4. Input_Plan'!O93/'4. Input_Plan'!O58</f>
        <v>0.16092764777060037</v>
      </c>
      <c r="P60" s="268">
        <f ca="1">+'4. Input_Plan'!P93/'4. Input_Plan'!P58</f>
        <v>0.16338398740303275</v>
      </c>
    </row>
    <row r="61" spans="3:21" ht="15.75" thickBot="1" x14ac:dyDescent="0.3"/>
    <row r="62" spans="3:21" x14ac:dyDescent="0.25">
      <c r="C62" s="284" t="s">
        <v>261</v>
      </c>
      <c r="D62" s="285"/>
      <c r="E62" s="286"/>
      <c r="F62" s="286"/>
      <c r="G62" s="286"/>
      <c r="H62" s="286"/>
      <c r="I62" s="286"/>
      <c r="J62" s="286"/>
      <c r="K62" s="286"/>
      <c r="L62" s="286"/>
      <c r="M62" s="286"/>
      <c r="N62" s="286"/>
      <c r="O62" s="286"/>
      <c r="P62" s="286"/>
      <c r="Q62" s="286"/>
      <c r="R62" s="287"/>
      <c r="S62" s="359" t="s">
        <v>558</v>
      </c>
      <c r="T62" s="360"/>
      <c r="U62" s="361"/>
    </row>
    <row r="63" spans="3:21" x14ac:dyDescent="0.25"/>
    <row r="64" spans="3:21" x14ac:dyDescent="0.25">
      <c r="C64" s="102" t="s">
        <v>226</v>
      </c>
    </row>
    <row r="65" spans="3:21" x14ac:dyDescent="0.25">
      <c r="C65" s="2" t="s">
        <v>250</v>
      </c>
      <c r="D65" s="6" t="s">
        <v>304</v>
      </c>
      <c r="G65" s="87"/>
      <c r="H65" s="32">
        <f>+'4. Input_Plan'!H58/(('4. Input_Plan'!H121+'4. Input_Plan'!G121)/2)</f>
        <v>1.4240344227025925</v>
      </c>
      <c r="I65" s="32">
        <f>+'4. Input_Plan'!I58/(('4. Input_Plan'!I121+'4. Input_Plan'!H121)/2)</f>
        <v>1.3321995464852614</v>
      </c>
      <c r="J65" s="32">
        <f>+'4. Input_Plan'!J58/(('4. Input_Plan'!J121+'4. Input_Plan'!I121)/2)</f>
        <v>0.99804506636485257</v>
      </c>
      <c r="K65" s="269">
        <f ca="1">+'4. Input_Plan'!K58/(('4. Input_Plan'!K121+'4. Input_Plan'!J121)/2)</f>
        <v>0.69498549371922524</v>
      </c>
      <c r="L65" s="269">
        <f ca="1">+'4. Input_Plan'!L58/(('4. Input_Plan'!L121+'4. Input_Plan'!K121)/2)</f>
        <v>0.56828227880550453</v>
      </c>
      <c r="M65" s="269">
        <f ca="1">+'4. Input_Plan'!M58/(('4. Input_Plan'!M121+'4. Input_Plan'!L121)/2)</f>
        <v>0.57073640259879421</v>
      </c>
      <c r="N65" s="269">
        <f ca="1">+'4. Input_Plan'!N58/(('4. Input_Plan'!N121+'4. Input_Plan'!M121)/2)</f>
        <v>0.58015132440703165</v>
      </c>
      <c r="O65" s="269">
        <f ca="1">+'4. Input_Plan'!O58/(('4. Input_Plan'!O121+'4. Input_Plan'!N121)/2)</f>
        <v>0.59651953169375938</v>
      </c>
      <c r="P65" s="32">
        <f ca="1">+'4. Input_Plan'!P58/(('4. Input_Plan'!P121+'4. Input_Plan'!O121)/2)</f>
        <v>0.59683489302114279</v>
      </c>
    </row>
    <row r="66" spans="3:21" x14ac:dyDescent="0.25">
      <c r="C66" s="2" t="s">
        <v>236</v>
      </c>
      <c r="D66" s="6" t="s">
        <v>232</v>
      </c>
      <c r="G66" s="32">
        <f>'4. Input_Plan'!G110/-'4. Input_Plan'!G60*365</f>
        <v>730</v>
      </c>
      <c r="H66" s="32">
        <f>'4. Input_Plan'!H110/-'4. Input_Plan'!H60*365</f>
        <v>730</v>
      </c>
      <c r="I66" s="32">
        <f>'4. Input_Plan'!I110/-'4. Input_Plan'!I60*365</f>
        <v>730</v>
      </c>
      <c r="J66" s="32">
        <f>'4. Input_Plan'!J110/-'4. Input_Plan'!J60*365</f>
        <v>730</v>
      </c>
      <c r="K66" s="269">
        <f>'4. Input_Plan'!K110/-'4. Input_Plan'!K60*365</f>
        <v>758.91089108910899</v>
      </c>
      <c r="L66" s="269">
        <f>'4. Input_Plan'!L110/-'4. Input_Plan'!L60*365</f>
        <v>788.96676796392535</v>
      </c>
      <c r="M66" s="269">
        <f>'4. Input_Plan'!M110/-'4. Input_Plan'!M60*365</f>
        <v>820.21297659616005</v>
      </c>
      <c r="N66" s="269">
        <f>'4. Input_Plan'!N110/-'4. Input_Plan'!N60*365</f>
        <v>852.69665883759194</v>
      </c>
      <c r="O66" s="269">
        <f>'4. Input_Plan'!O110/-'4. Input_Plan'!O60*365</f>
        <v>886.46682354403129</v>
      </c>
      <c r="P66" s="32">
        <f ca="1">'4. Input_Plan'!P110/-'4. Input_Plan'!P60*365</f>
        <v>886.46682354403129</v>
      </c>
    </row>
    <row r="67" spans="3:21" x14ac:dyDescent="0.25">
      <c r="C67" s="2" t="s">
        <v>235</v>
      </c>
      <c r="D67" s="6" t="s">
        <v>232</v>
      </c>
      <c r="G67" s="32">
        <f>+'4. Input_Plan'!G111/'4. Input_Plan'!G58*365</f>
        <v>91.25</v>
      </c>
      <c r="H67" s="32">
        <f>+'4. Input_Plan'!H111/'4. Input_Plan'!H58*365</f>
        <v>91.25</v>
      </c>
      <c r="I67" s="32">
        <f>+'4. Input_Plan'!I111/'4. Input_Plan'!I58*365</f>
        <v>91.25</v>
      </c>
      <c r="J67" s="32">
        <f>+'4. Input_Plan'!J111/'4. Input_Plan'!J58*365</f>
        <v>91.25</v>
      </c>
      <c r="K67" s="269">
        <f>+'4. Input_Plan'!K111/'4. Input_Plan'!K58*365</f>
        <v>91.25</v>
      </c>
      <c r="L67" s="269">
        <f>+'4. Input_Plan'!L111/'4. Input_Plan'!L58*365</f>
        <v>91.25</v>
      </c>
      <c r="M67" s="269">
        <f>+'4. Input_Plan'!M111/'4. Input_Plan'!M58*365</f>
        <v>91.25</v>
      </c>
      <c r="N67" s="269">
        <f>+'4. Input_Plan'!N111/'4. Input_Plan'!N58*365</f>
        <v>91.25</v>
      </c>
      <c r="O67" s="269">
        <f>+'4. Input_Plan'!O111/'4. Input_Plan'!O58*365</f>
        <v>91.25</v>
      </c>
      <c r="P67" s="32">
        <f ca="1">+'4. Input_Plan'!P111/'4. Input_Plan'!P58*365</f>
        <v>91.25</v>
      </c>
    </row>
    <row r="68" spans="3:21" x14ac:dyDescent="0.25">
      <c r="C68" s="2" t="s">
        <v>234</v>
      </c>
      <c r="D68" s="6" t="s">
        <v>232</v>
      </c>
      <c r="G68" s="32">
        <f>+'4. Input_Plan'!G145/-'4. Input_Plan'!G60*365</f>
        <v>547.49999999999989</v>
      </c>
      <c r="H68" s="32">
        <f>+'4. Input_Plan'!H145/-'4. Input_Plan'!H60*365</f>
        <v>547.49999999999989</v>
      </c>
      <c r="I68" s="32">
        <f>+'4. Input_Plan'!I145/-'4. Input_Plan'!I60*365</f>
        <v>547.5</v>
      </c>
      <c r="J68" s="32">
        <f>+'4. Input_Plan'!J145/-'4. Input_Plan'!J60*365</f>
        <v>547.5</v>
      </c>
      <c r="K68" s="269">
        <f>+'4. Input_Plan'!K145/-'4. Input_Plan'!K60*365</f>
        <v>569.18316831683182</v>
      </c>
      <c r="L68" s="269">
        <f>+'4. Input_Plan'!L145/-'4. Input_Plan'!L60*365</f>
        <v>591.72507597294396</v>
      </c>
      <c r="M68" s="269">
        <f>+'4. Input_Plan'!M145/-'4. Input_Plan'!M60*365</f>
        <v>615.15973244712006</v>
      </c>
      <c r="N68" s="269">
        <f>+'4. Input_Plan'!N145/-'4. Input_Plan'!N60*365</f>
        <v>639.52249412819413</v>
      </c>
      <c r="O68" s="269">
        <f>+'4. Input_Plan'!O145/-'4. Input_Plan'!O60*365</f>
        <v>664.85011765802358</v>
      </c>
      <c r="P68" s="32">
        <f ca="1">+'4. Input_Plan'!P145/-'4. Input_Plan'!P60*365</f>
        <v>664.85011765802358</v>
      </c>
    </row>
    <row r="69" spans="3:21" x14ac:dyDescent="0.25">
      <c r="C69" s="8" t="s">
        <v>580</v>
      </c>
      <c r="D69" s="275" t="s">
        <v>232</v>
      </c>
      <c r="E69" s="8"/>
      <c r="F69" s="8"/>
      <c r="G69" s="276">
        <f t="shared" ref="G69:P69" si="0">+G66+G67-G68</f>
        <v>273.75000000000011</v>
      </c>
      <c r="H69" s="276">
        <f t="shared" si="0"/>
        <v>273.75000000000011</v>
      </c>
      <c r="I69" s="276">
        <f t="shared" si="0"/>
        <v>273.75</v>
      </c>
      <c r="J69" s="276">
        <f t="shared" si="0"/>
        <v>273.75</v>
      </c>
      <c r="K69" s="270">
        <f t="shared" si="0"/>
        <v>280.97772277227716</v>
      </c>
      <c r="L69" s="270">
        <f t="shared" si="0"/>
        <v>288.49169199098139</v>
      </c>
      <c r="M69" s="270">
        <f t="shared" si="0"/>
        <v>296.30324414903998</v>
      </c>
      <c r="N69" s="270">
        <f t="shared" si="0"/>
        <v>304.42416470939781</v>
      </c>
      <c r="O69" s="270">
        <f t="shared" si="0"/>
        <v>312.86670588600771</v>
      </c>
      <c r="P69" s="276">
        <f t="shared" ca="1" si="0"/>
        <v>312.86670588600771</v>
      </c>
    </row>
    <row r="70" spans="3:21" ht="15.75" thickBot="1" x14ac:dyDescent="0.3"/>
    <row r="71" spans="3:21" x14ac:dyDescent="0.25">
      <c r="C71" s="284" t="s">
        <v>261</v>
      </c>
      <c r="D71" s="285"/>
      <c r="E71" s="286"/>
      <c r="F71" s="286"/>
      <c r="G71" s="286"/>
      <c r="H71" s="286"/>
      <c r="I71" s="286"/>
      <c r="J71" s="286"/>
      <c r="K71" s="286"/>
      <c r="L71" s="286"/>
      <c r="M71" s="286"/>
      <c r="N71" s="286"/>
      <c r="O71" s="286"/>
      <c r="P71" s="286"/>
      <c r="Q71" s="286"/>
      <c r="R71" s="287"/>
      <c r="S71" s="359" t="s">
        <v>558</v>
      </c>
      <c r="T71" s="360"/>
      <c r="U71" s="361"/>
    </row>
    <row r="72" spans="3:21" x14ac:dyDescent="0.25"/>
    <row r="73" spans="3:21" x14ac:dyDescent="0.25">
      <c r="C73" s="102" t="s">
        <v>238</v>
      </c>
    </row>
    <row r="74" spans="3:21" x14ac:dyDescent="0.25">
      <c r="C74" s="2" t="s">
        <v>241</v>
      </c>
      <c r="G74" s="32">
        <f>('4. Input_Plan'!G143+'4. Input_Plan'!G154+'4. Input_Plan'!G156)/('4. Input_Plan'!G69+SUM('4. Input_Plan'!G76:G83))</f>
        <v>0.59130777569725057</v>
      </c>
      <c r="H74" s="32">
        <f>('4. Input_Plan'!H143+'4. Input_Plan'!H154+'4. Input_Plan'!H156)/('4. Input_Plan'!H69+SUM('4. Input_Plan'!H76:H83))</f>
        <v>0.59130777569725057</v>
      </c>
      <c r="I74" s="32">
        <f>('4. Input_Plan'!I143+'4. Input_Plan'!I154+'4. Input_Plan'!I156)/('4. Input_Plan'!I69+SUM('4. Input_Plan'!I76:I83))</f>
        <v>0.43719032352083936</v>
      </c>
      <c r="J74" s="32">
        <f>('4. Input_Plan'!J143+'4. Input_Plan'!J154+'4. Input_Plan'!J156)/('4. Input_Plan'!J69+SUM('4. Input_Plan'!J76:J83))</f>
        <v>0.42366897330885456</v>
      </c>
      <c r="K74" s="269">
        <f ca="1">('4. Input_Plan'!K143+'4. Input_Plan'!K154+'4. Input_Plan'!K156)/('4. Input_Plan'!K69+SUM('4. Input_Plan'!K76:K83))</f>
        <v>2.2425720501006614</v>
      </c>
      <c r="L74" s="269">
        <f ca="1">('4. Input_Plan'!L143+'4. Input_Plan'!L154+'4. Input_Plan'!L156)/('4. Input_Plan'!L69+SUM('4. Input_Plan'!L76:L83))</f>
        <v>2.037571997146943</v>
      </c>
      <c r="M74" s="269">
        <f ca="1">('4. Input_Plan'!M143+'4. Input_Plan'!M154+'4. Input_Plan'!M156)/('4. Input_Plan'!M69+SUM('4. Input_Plan'!M76:M83))</f>
        <v>1.8577218269728206</v>
      </c>
      <c r="N74" s="269">
        <f ca="1">('4. Input_Plan'!N143+'4. Input_Plan'!N154+'4. Input_Plan'!N156)/('4. Input_Plan'!N69+SUM('4. Input_Plan'!N76:N83))</f>
        <v>1.6989544630883315</v>
      </c>
      <c r="O74" s="269">
        <f ca="1">('4. Input_Plan'!O143+'4. Input_Plan'!O154+'4. Input_Plan'!O156)/('4. Input_Plan'!O69+SUM('4. Input_Plan'!O76:O83))</f>
        <v>1.5580249288442511</v>
      </c>
      <c r="P74" s="32">
        <f ca="1">('4. Input_Plan'!P143+'4. Input_Plan'!P154+'4. Input_Plan'!P156)/('4. Input_Plan'!P69+SUM('4. Input_Plan'!P76:P83))</f>
        <v>1.5696963084405418</v>
      </c>
    </row>
    <row r="75" spans="3:21" x14ac:dyDescent="0.25">
      <c r="C75" s="2" t="s">
        <v>240</v>
      </c>
      <c r="G75" s="32">
        <f>+('4. Input_Plan'!G143+'4. Input_Plan'!G154+'4. Input_Plan'!G156)/'4. Input_Plan'!G132</f>
        <v>1.2224938875305631</v>
      </c>
      <c r="H75" s="32">
        <f>+('4. Input_Plan'!H143+'4. Input_Plan'!H154+'4. Input_Plan'!H156)/'4. Input_Plan'!H132</f>
        <v>0.54466230936819204</v>
      </c>
      <c r="I75" s="32">
        <f>+('4. Input_Plan'!I143+'4. Input_Plan'!I154+'4. Input_Plan'!I156)/'4. Input_Plan'!I132</f>
        <v>0.29481132075471705</v>
      </c>
      <c r="J75" s="32">
        <f>+('4. Input_Plan'!J143+'4. Input_Plan'!J154+'4. Input_Plan'!J156)/'4. Input_Plan'!J132</f>
        <v>0.19920318725099601</v>
      </c>
      <c r="K75" s="269">
        <f ca="1">+('4. Input_Plan'!K143+'4. Input_Plan'!K154+'4. Input_Plan'!K156)/'4. Input_Plan'!K132</f>
        <v>1.1650682982356293</v>
      </c>
      <c r="L75" s="269">
        <f ca="1">+('4. Input_Plan'!L143+'4. Input_Plan'!L154+'4. Input_Plan'!L156)/'4. Input_Plan'!L132</f>
        <v>1.046228073145629</v>
      </c>
      <c r="M75" s="269">
        <f ca="1">+('4. Input_Plan'!M143+'4. Input_Plan'!M154+'4. Input_Plan'!M156)/'4. Input_Plan'!M132</f>
        <v>0.97119826794811193</v>
      </c>
      <c r="N75" s="269">
        <f ca="1">+('4. Input_Plan'!N143+'4. Input_Plan'!N154+'4. Input_Plan'!N156)/'4. Input_Plan'!N132</f>
        <v>0.92707612765795044</v>
      </c>
      <c r="O75" s="269">
        <f ca="1">+('4. Input_Plan'!O143+'4. Input_Plan'!O154+'4. Input_Plan'!O156)/'4. Input_Plan'!O132</f>
        <v>0.90778265511619272</v>
      </c>
      <c r="P75" s="32">
        <f ca="1">+('4. Input_Plan'!P143+'4. Input_Plan'!P154+'4. Input_Plan'!P156)/'4. Input_Plan'!P132</f>
        <v>0.92391534327603619</v>
      </c>
    </row>
    <row r="76" spans="3:21" x14ac:dyDescent="0.25">
      <c r="C76" s="2" t="s">
        <v>242</v>
      </c>
      <c r="G76" s="32">
        <f>('4. Input_Plan'!G138+'4. Input_Plan'!G143+'4. Input_Plan'!G148+'4. Input_Plan'!G154+'4. Input_Plan'!G156)/('4. Input_Plan'!G69+SUM('4. Input_Plan'!G76:G83))</f>
        <v>1.1392529811767029</v>
      </c>
      <c r="H76" s="32">
        <f>('4. Input_Plan'!H138+'4. Input_Plan'!H143+'4. Input_Plan'!H148+'4. Input_Plan'!H154+'4. Input_Plan'!H156)/('4. Input_Plan'!H69+SUM('4. Input_Plan'!H76:H83))</f>
        <v>1.1392529811767029</v>
      </c>
      <c r="I76" s="32">
        <f>('4. Input_Plan'!I138+'4. Input_Plan'!I143+'4. Input_Plan'!I148+'4. Input_Plan'!I154+'4. Input_Plan'!I156)/('4. Input_Plan'!I69+SUM('4. Input_Plan'!I76:I83))</f>
        <v>0.98513552900029155</v>
      </c>
      <c r="J76" s="32">
        <f>('4. Input_Plan'!J138+'4. Input_Plan'!J143+'4. Input_Plan'!J148+'4. Input_Plan'!J154+'4. Input_Plan'!J156)/('4. Input_Plan'!J69+SUM('4. Input_Plan'!J76:J83))</f>
        <v>0.97161417878830647</v>
      </c>
      <c r="K76" s="269">
        <f ca="1">('4. Input_Plan'!K138+'4. Input_Plan'!K143+'4. Input_Plan'!K148+'4. Input_Plan'!K154+'4. Input_Plan'!K156)/('4. Input_Plan'!K69+SUM('4. Input_Plan'!K76:K83))</f>
        <v>2.7632762405296223</v>
      </c>
      <c r="L76" s="269">
        <f ca="1">('4. Input_Plan'!L138+'4. Input_Plan'!L143+'4. Input_Plan'!L148+'4. Input_Plan'!L154+'4. Input_Plan'!L156)/('4. Input_Plan'!L69+SUM('4. Input_Plan'!L76:L83))</f>
        <v>2.5343323536429012</v>
      </c>
      <c r="M76" s="269">
        <f ca="1">('4. Input_Plan'!M138+'4. Input_Plan'!M143+'4. Input_Plan'!M148+'4. Input_Plan'!M154+'4. Input_Plan'!M156)/('4. Input_Plan'!M69+SUM('4. Input_Plan'!M76:M83))</f>
        <v>2.3332803280937644</v>
      </c>
      <c r="N76" s="269">
        <f ca="1">('4. Input_Plan'!N138+'4. Input_Plan'!N143+'4. Input_Plan'!N148+'4. Input_Plan'!N154+'4. Input_Plan'!N156)/('4. Input_Plan'!N69+SUM('4. Input_Plan'!N76:N83))</f>
        <v>2.1556158628299564</v>
      </c>
      <c r="O76" s="269">
        <f ca="1">('4. Input_Plan'!O138+'4. Input_Plan'!O143+'4. Input_Plan'!O148+'4. Input_Plan'!O154+'4. Input_Plan'!O156)/('4. Input_Plan'!O69+SUM('4. Input_Plan'!O76:O83))</f>
        <v>1.9977449762681692</v>
      </c>
      <c r="P76" s="32">
        <f ca="1">('4. Input_Plan'!P138+'4. Input_Plan'!P143+'4. Input_Plan'!P148+'4. Input_Plan'!P154+'4. Input_Plan'!P156)/('4. Input_Plan'!P69+SUM('4. Input_Plan'!P76:P83))</f>
        <v>2.0094163558644595</v>
      </c>
    </row>
    <row r="77" spans="3:21" ht="15.75" thickBot="1" x14ac:dyDescent="0.3"/>
    <row r="78" spans="3:21" x14ac:dyDescent="0.25">
      <c r="C78" s="284" t="s">
        <v>261</v>
      </c>
      <c r="D78" s="285"/>
      <c r="E78" s="286"/>
      <c r="F78" s="286"/>
      <c r="G78" s="286"/>
      <c r="H78" s="286"/>
      <c r="I78" s="286"/>
      <c r="J78" s="286"/>
      <c r="K78" s="286"/>
      <c r="L78" s="286"/>
      <c r="M78" s="286"/>
      <c r="N78" s="286"/>
      <c r="O78" s="286"/>
      <c r="P78" s="286"/>
      <c r="Q78" s="286"/>
      <c r="R78" s="287"/>
      <c r="S78" s="359" t="s">
        <v>558</v>
      </c>
      <c r="T78" s="360"/>
      <c r="U78" s="361"/>
    </row>
    <row r="79" spans="3:21" ht="15" customHeight="1" x14ac:dyDescent="0.25"/>
    <row r="80" spans="3:21" x14ac:dyDescent="0.25">
      <c r="C80" s="102" t="s">
        <v>237</v>
      </c>
    </row>
    <row r="81" spans="3:21" x14ac:dyDescent="0.25">
      <c r="C81" s="2" t="s">
        <v>243</v>
      </c>
      <c r="D81" s="6" t="s">
        <v>304</v>
      </c>
      <c r="G81" s="32">
        <f>('4. Input_Plan'!G69+SUM('4. Input_Plan'!G76:G83))/-'4. Input_Plan'!G88</f>
        <v>72.999999999999972</v>
      </c>
      <c r="H81" s="32">
        <f>('4. Input_Plan'!H69+SUM('4. Input_Plan'!H76:H83))/-'4. Input_Plan'!H88</f>
        <v>72.999999999999972</v>
      </c>
      <c r="I81" s="32">
        <f>('4. Input_Plan'!I69+SUM('4. Input_Plan'!I76:I83))/-'4. Input_Plan'!I88</f>
        <v>73</v>
      </c>
      <c r="J81" s="32">
        <f>('4. Input_Plan'!J69+SUM('4. Input_Plan'!J76:J83))/-'4. Input_Plan'!J88</f>
        <v>73.000000000000014</v>
      </c>
      <c r="K81" s="269">
        <f>('4. Input_Plan'!K69+SUM('4. Input_Plan'!K76:K83))/-'4. Input_Plan'!K88</f>
        <v>52.160133333333327</v>
      </c>
      <c r="L81" s="269">
        <f ca="1">('4. Input_Plan'!L69+SUM('4. Input_Plan'!L76:L83))/-'4. Input_Plan'!L88</f>
        <v>9.8156040758336278</v>
      </c>
      <c r="M81" s="269">
        <f ca="1">('4. Input_Plan'!M69+SUM('4. Input_Plan'!M76:M83))/-'4. Input_Plan'!M88</f>
        <v>10.765874475722898</v>
      </c>
      <c r="N81" s="269">
        <f ca="1">('4. Input_Plan'!N69+SUM('4. Input_Plan'!N76:N83))/-'4. Input_Plan'!N88</f>
        <v>11.771945884673286</v>
      </c>
      <c r="O81" s="269">
        <f ca="1">('4. Input_Plan'!O69+SUM('4. Input_Plan'!O76:O83))/-'4. Input_Plan'!O88</f>
        <v>12.836765079770633</v>
      </c>
      <c r="P81" s="32">
        <f ca="1">('4. Input_Plan'!P69+SUM('4. Input_Plan'!P76:P83))/-'4. Input_Plan'!P88</f>
        <v>13.029316555967185</v>
      </c>
    </row>
    <row r="82" spans="3:21" x14ac:dyDescent="0.25">
      <c r="C82" s="2" t="s">
        <v>244</v>
      </c>
      <c r="D82" s="6" t="s">
        <v>304</v>
      </c>
      <c r="G82" s="32">
        <f>('4. Input_Plan'!G69+SUM('4. Input_Plan'!G76:G83)-'4. Input_Plan'!G101)/-'4. Input_Plan'!G88</f>
        <v>72.999999999999972</v>
      </c>
      <c r="H82" s="32">
        <f>('4. Input_Plan'!H69+SUM('4. Input_Plan'!H76:H83)-'4. Input_Plan'!H101)/-'4. Input_Plan'!H88</f>
        <v>51.41726618705033</v>
      </c>
      <c r="I82" s="32">
        <f>('4. Input_Plan'!I69+SUM('4. Input_Plan'!I76:I83)-'4. Input_Plan'!I101)/-'4. Input_Plan'!I88</f>
        <v>57.042553191489361</v>
      </c>
      <c r="J82" s="32">
        <f>('4. Input_Plan'!J69+SUM('4. Input_Plan'!J76:J83)-'4. Input_Plan'!J101)/-'4. Input_Plan'!J88</f>
        <v>57.536082474226824</v>
      </c>
      <c r="K82" s="269">
        <f>('4. Input_Plan'!K69+SUM('4. Input_Plan'!K76:K83)-'4. Input_Plan'!K101)/-'4. Input_Plan'!K88</f>
        <v>25.00013333333332</v>
      </c>
      <c r="L82" s="269">
        <f ca="1">('4. Input_Plan'!L69+SUM('4. Input_Plan'!L76:L83)-'4. Input_Plan'!L101)/-'4. Input_Plan'!L88</f>
        <v>4.9396010958993344</v>
      </c>
      <c r="M82" s="269">
        <f ca="1">('4. Input_Plan'!M69+SUM('4. Input_Plan'!M76:M83)-'4. Input_Plan'!M101)/-'4. Input_Plan'!M88</f>
        <v>5.6460713467918886</v>
      </c>
      <c r="N82" s="269">
        <f ca="1">('4. Input_Plan'!N69+SUM('4. Input_Plan'!N76:N83)-'4. Input_Plan'!N101)/-'4. Input_Plan'!N88</f>
        <v>6.3961525992957267</v>
      </c>
      <c r="O82" s="269">
        <f ca="1">('4. Input_Plan'!O69+SUM('4. Input_Plan'!O76:O83)-'4. Input_Plan'!O101)/-'4. Input_Plan'!O88</f>
        <v>7.1921821301241931</v>
      </c>
      <c r="P82" s="32">
        <f ca="1">('4. Input_Plan'!P69+SUM('4. Input_Plan'!P76:P83)-'4. Input_Plan'!P101)/-'4. Input_Plan'!P88</f>
        <v>7.3000648620760522</v>
      </c>
    </row>
    <row r="83" spans="3:21" x14ac:dyDescent="0.25">
      <c r="C83" s="2" t="s">
        <v>303</v>
      </c>
      <c r="D83" s="6" t="s">
        <v>304</v>
      </c>
      <c r="G83" s="32">
        <f>+'3. Input_Historie'!G138/-'4. Input_Plan'!G88</f>
        <v>9.0503597122301844</v>
      </c>
      <c r="H83" s="32">
        <f>+'3. Input_Historie'!H138/-'4. Input_Plan'!H88</f>
        <v>56.892086330935228</v>
      </c>
      <c r="I83" s="32">
        <f>+'3. Input_Historie'!I138/-'4. Input_Plan'!I88</f>
        <v>46.202127659574465</v>
      </c>
      <c r="J83" s="32">
        <f>+'3. Input_Historie'!J138/-'4. Input_Plan'!J88</f>
        <v>58.082474226804152</v>
      </c>
      <c r="K83" s="269">
        <f>+'3. Input_Historie'!K138/-'4. Input_Plan'!K88</f>
        <v>0</v>
      </c>
      <c r="L83" s="269">
        <f ca="1">+'3. Input_Historie'!L138/-'4. Input_Plan'!L88</f>
        <v>0</v>
      </c>
      <c r="M83" s="269">
        <f ca="1">+'3. Input_Historie'!M138/-'4. Input_Plan'!M88</f>
        <v>0</v>
      </c>
      <c r="N83" s="269">
        <f ca="1">+'3. Input_Historie'!N138/-'4. Input_Plan'!N88</f>
        <v>0</v>
      </c>
      <c r="O83" s="269">
        <f ca="1">+'3. Input_Historie'!O138/-'4. Input_Plan'!O88</f>
        <v>0</v>
      </c>
      <c r="P83" s="32">
        <f ca="1">+'3. Input_Historie'!P138/-'4. Input_Plan'!P88</f>
        <v>0</v>
      </c>
    </row>
    <row r="84" spans="3:21" ht="15.75" thickBot="1" x14ac:dyDescent="0.3"/>
    <row r="85" spans="3:21" x14ac:dyDescent="0.25">
      <c r="C85" s="284" t="s">
        <v>261</v>
      </c>
      <c r="D85" s="285"/>
      <c r="E85" s="286"/>
      <c r="F85" s="286"/>
      <c r="G85" s="286"/>
      <c r="H85" s="286"/>
      <c r="I85" s="286"/>
      <c r="J85" s="286"/>
      <c r="K85" s="286"/>
      <c r="L85" s="286"/>
      <c r="M85" s="286"/>
      <c r="N85" s="286"/>
      <c r="O85" s="286"/>
      <c r="P85" s="286"/>
      <c r="Q85" s="286"/>
      <c r="R85" s="287"/>
      <c r="S85" s="359" t="s">
        <v>558</v>
      </c>
      <c r="T85" s="360"/>
      <c r="U85" s="361"/>
    </row>
    <row r="86" spans="3:21" x14ac:dyDescent="0.25"/>
    <row r="87" spans="3:21" x14ac:dyDescent="0.25">
      <c r="C87" s="102" t="s">
        <v>294</v>
      </c>
    </row>
    <row r="88" spans="3:21" x14ac:dyDescent="0.25">
      <c r="C88" s="2" t="s">
        <v>295</v>
      </c>
      <c r="D88" s="96" t="s">
        <v>275</v>
      </c>
      <c r="G88" s="32">
        <f>+'4. Input_Plan'!G101</f>
        <v>0</v>
      </c>
      <c r="H88" s="32">
        <f>+'4. Input_Plan'!H101</f>
        <v>50</v>
      </c>
      <c r="I88" s="32">
        <f>+'4. Input_Plan'!I101</f>
        <v>50</v>
      </c>
      <c r="J88" s="32">
        <f>+'4. Input_Plan'!J101</f>
        <v>50</v>
      </c>
      <c r="K88" s="269">
        <f>+'4. Input_Plan'!K101</f>
        <v>135.80000000000004</v>
      </c>
      <c r="L88" s="269">
        <f>+'4. Input_Plan'!L101</f>
        <v>142.59000000000003</v>
      </c>
      <c r="M88" s="269">
        <f>+'4. Input_Plan'!M101</f>
        <v>149.71950000000004</v>
      </c>
      <c r="N88" s="269">
        <f>+'4. Input_Plan'!N101</f>
        <v>157.20547500000006</v>
      </c>
      <c r="O88" s="269">
        <f>+'4. Input_Plan'!O101</f>
        <v>165.06574875000007</v>
      </c>
      <c r="P88" s="32">
        <f ca="1">+'4. Input_Plan'!P101</f>
        <v>167.54173498125004</v>
      </c>
    </row>
    <row r="89" spans="3:21" x14ac:dyDescent="0.25">
      <c r="C89" s="2" t="s">
        <v>296</v>
      </c>
      <c r="D89" s="96" t="s">
        <v>41</v>
      </c>
      <c r="G89" s="268">
        <f>+G88/'4. Input_Plan'!G58</f>
        <v>0</v>
      </c>
      <c r="H89" s="268">
        <f>+H88/'4. Input_Plan'!H58</f>
        <v>0.1079136690647482</v>
      </c>
      <c r="I89" s="268">
        <f>+I88/'4. Input_Plan'!I58</f>
        <v>7.9787234042553182E-2</v>
      </c>
      <c r="J89" s="268">
        <f>+J88/'4. Input_Plan'!J58</f>
        <v>7.7319587628865968E-2</v>
      </c>
      <c r="K89" s="268">
        <f>+K88/'4. Input_Plan'!K58</f>
        <v>0.20000000000000004</v>
      </c>
      <c r="L89" s="268">
        <f>+L88/'4. Input_Plan'!L58</f>
        <v>0.2</v>
      </c>
      <c r="M89" s="268">
        <f>+M88/'4. Input_Plan'!M58</f>
        <v>0.2</v>
      </c>
      <c r="N89" s="268">
        <f>+N88/'4. Input_Plan'!N58</f>
        <v>0.2</v>
      </c>
      <c r="O89" s="268">
        <f>+O88/'4. Input_Plan'!O58</f>
        <v>0.2</v>
      </c>
      <c r="P89" s="268">
        <f ca="1">+P88/'4. Input_Plan'!P58</f>
        <v>0.2</v>
      </c>
    </row>
    <row r="90" spans="3:21" x14ac:dyDescent="0.25">
      <c r="C90" s="2" t="s">
        <v>147</v>
      </c>
      <c r="D90" s="96" t="s">
        <v>275</v>
      </c>
      <c r="G90" s="32">
        <f>-'4. Input_Plan'!G72</f>
        <v>30</v>
      </c>
      <c r="H90" s="32">
        <f>-'4. Input_Plan'!H72</f>
        <v>30</v>
      </c>
      <c r="I90" s="32">
        <f>-'4. Input_Plan'!I72</f>
        <v>30</v>
      </c>
      <c r="J90" s="32">
        <f>-'4. Input_Plan'!J72</f>
        <v>30</v>
      </c>
      <c r="K90" s="269">
        <f ca="1">-'4. Input_Plan'!K72</f>
        <v>73.685714285714283</v>
      </c>
      <c r="L90" s="269">
        <f ca="1">-'4. Input_Plan'!L72</f>
        <v>94.055714285714288</v>
      </c>
      <c r="M90" s="269">
        <f ca="1">-'4. Input_Plan'!M72</f>
        <v>115.4442142857143</v>
      </c>
      <c r="N90" s="269">
        <f ca="1">-'4. Input_Plan'!N72</f>
        <v>137.9021392857143</v>
      </c>
      <c r="O90" s="269">
        <f ca="1">-'4. Input_Plan'!O72</f>
        <v>161.48296053571431</v>
      </c>
      <c r="P90" s="32">
        <f ca="1">-'4. Input_Plan'!P72</f>
        <v>161.48296053571431</v>
      </c>
    </row>
    <row r="91" spans="3:21" x14ac:dyDescent="0.25">
      <c r="C91" s="2" t="s">
        <v>297</v>
      </c>
      <c r="D91" s="96" t="s">
        <v>275</v>
      </c>
      <c r="G91" s="32">
        <f t="shared" ref="G91:P91" si="1">+G88-G90</f>
        <v>-30</v>
      </c>
      <c r="H91" s="32">
        <f t="shared" si="1"/>
        <v>20</v>
      </c>
      <c r="I91" s="32">
        <f t="shared" si="1"/>
        <v>20</v>
      </c>
      <c r="J91" s="32">
        <f t="shared" si="1"/>
        <v>20</v>
      </c>
      <c r="K91" s="269">
        <f t="shared" ca="1" si="1"/>
        <v>62.114285714285757</v>
      </c>
      <c r="L91" s="269">
        <f t="shared" ca="1" si="1"/>
        <v>48.534285714285744</v>
      </c>
      <c r="M91" s="269">
        <f t="shared" ca="1" si="1"/>
        <v>34.275285714285744</v>
      </c>
      <c r="N91" s="269">
        <f t="shared" ca="1" si="1"/>
        <v>19.303335714285765</v>
      </c>
      <c r="O91" s="269">
        <f t="shared" ca="1" si="1"/>
        <v>3.5827882142857561</v>
      </c>
      <c r="P91" s="32">
        <f t="shared" ca="1" si="1"/>
        <v>6.0587744455357324</v>
      </c>
    </row>
    <row r="92" spans="3:21" ht="5.0999999999999996" customHeight="1" x14ac:dyDescent="0.25"/>
    <row r="93" spans="3:21" x14ac:dyDescent="0.25">
      <c r="C93" s="2" t="s">
        <v>298</v>
      </c>
      <c r="D93" s="96" t="s">
        <v>275</v>
      </c>
      <c r="J93" s="32">
        <f>+'(AUSBLENDEN) Bewertung'!G28+'(AUSBLENDEN) Bewertung'!G30</f>
        <v>148.18947500000007</v>
      </c>
      <c r="K93" s="269">
        <f ca="1">+'(AUSBLENDEN) Bewertung'!H28+'(AUSBLENDEN) Bewertung'!H30</f>
        <v>134.58242949999999</v>
      </c>
      <c r="L93" s="269">
        <f ca="1">+'(AUSBLENDEN) Bewertung'!I28+'(AUSBLENDEN) Bewertung'!I30</f>
        <v>138.80381324000007</v>
      </c>
      <c r="M93" s="269">
        <f ca="1">+'(AUSBLENDEN) Bewertung'!J28+'(AUSBLENDEN) Bewertung'!J30</f>
        <v>143.40734476630007</v>
      </c>
      <c r="N93" s="269">
        <f ca="1">+'(AUSBLENDEN) Bewertung'!K28+'(AUSBLENDEN) Bewertung'!K30</f>
        <v>148.41536513374109</v>
      </c>
      <c r="O93" s="269">
        <f ca="1">+'(AUSBLENDEN) Bewertung'!L28+'(AUSBLENDEN) Bewertung'!L30</f>
        <v>153.85139524415214</v>
      </c>
      <c r="P93" s="32">
        <f ca="1">+'(AUSBLENDEN) Bewertung'!M28+'(AUSBLENDEN) Bewertung'!M30</f>
        <v>157.90136546329407</v>
      </c>
    </row>
    <row r="94" spans="3:21" x14ac:dyDescent="0.25">
      <c r="C94" s="2" t="s">
        <v>299</v>
      </c>
      <c r="D94" s="96" t="s">
        <v>41</v>
      </c>
      <c r="J94" s="87"/>
      <c r="K94" s="268">
        <f ca="1">+K93/J93-1</f>
        <v>-9.1821942820163649E-2</v>
      </c>
      <c r="L94" s="268">
        <f ca="1">+L93/K93-1</f>
        <v>3.1366529462154569E-2</v>
      </c>
      <c r="M94" s="268">
        <f ca="1">+M93/L93-1</f>
        <v>3.3165742488214134E-2</v>
      </c>
      <c r="N94" s="268">
        <f ca="1">+N93/M93-1</f>
        <v>3.4921644882291103E-2</v>
      </c>
      <c r="O94" s="268">
        <f ca="1">+O93/N93-1</f>
        <v>3.6627138339163867E-2</v>
      </c>
      <c r="P94" s="268">
        <f ca="1">+P93/+OFFSET(J93,,'2. Input_Allgemein'!$E$36)-1</f>
        <v>2.6323909592856687E-2</v>
      </c>
    </row>
    <row r="95" spans="3:21" x14ac:dyDescent="0.25">
      <c r="C95" s="2" t="s">
        <v>300</v>
      </c>
      <c r="D95" s="96" t="s">
        <v>275</v>
      </c>
      <c r="J95" s="87"/>
      <c r="K95" s="269">
        <f ca="1">+'(AUSBLENDEN) Bewertung'!H36</f>
        <v>64.384810452380833</v>
      </c>
      <c r="L95" s="269">
        <f ca="1">+'(AUSBLENDEN) Bewertung'!I36</f>
        <v>81.782027525714312</v>
      </c>
      <c r="M95" s="269">
        <f ca="1">+'(AUSBLENDEN) Bewertung'!J36</f>
        <v>100.2201840520143</v>
      </c>
      <c r="N95" s="269">
        <f ca="1">+'(AUSBLENDEN) Bewertung'!K36</f>
        <v>119.75456066945534</v>
      </c>
      <c r="O95" s="269">
        <f ca="1">+'(AUSBLENDEN) Bewertung'!L36</f>
        <v>140.44326484236643</v>
      </c>
      <c r="P95" s="32">
        <f ca="1">+'(AUSBLENDEN) Bewertung'!M36</f>
        <v>148.74760822869587</v>
      </c>
    </row>
    <row r="96" spans="3:21" x14ac:dyDescent="0.25">
      <c r="C96" s="2" t="s">
        <v>301</v>
      </c>
      <c r="D96" s="96" t="s">
        <v>275</v>
      </c>
      <c r="J96" s="87"/>
      <c r="K96" s="269">
        <f ca="1">-SUM('(AUSBLENDEN) Bewertung'!H32:H34)</f>
        <v>70.197619047619156</v>
      </c>
      <c r="L96" s="269">
        <f ca="1">-SUM('(AUSBLENDEN) Bewertung'!I32:I34)</f>
        <v>57.021785714285755</v>
      </c>
      <c r="M96" s="269">
        <f ca="1">-SUM('(AUSBLENDEN) Bewertung'!J32:J34)</f>
        <v>43.187160714285753</v>
      </c>
      <c r="N96" s="269">
        <f ca="1">-SUM('(AUSBLENDEN) Bewertung'!K32:K34)</f>
        <v>28.660804464285775</v>
      </c>
      <c r="O96" s="269">
        <f ca="1">-SUM('(AUSBLENDEN) Bewertung'!L32:L34)</f>
        <v>13.408130401785684</v>
      </c>
      <c r="P96" s="32">
        <f ca="1">-SUM('(AUSBLENDEN) Bewertung'!M32:M34)</f>
        <v>9.1537572345982312</v>
      </c>
    </row>
    <row r="97" spans="3:21" x14ac:dyDescent="0.25">
      <c r="C97" s="2" t="s">
        <v>301</v>
      </c>
      <c r="D97" s="96" t="s">
        <v>41</v>
      </c>
      <c r="J97" s="87"/>
      <c r="K97" s="268">
        <f t="shared" ref="K97:P97" ca="1" si="2">+K96/K93</f>
        <v>0.52159571876074029</v>
      </c>
      <c r="L97" s="268">
        <f t="shared" ca="1" si="2"/>
        <v>0.41080849569810945</v>
      </c>
      <c r="M97" s="268">
        <f t="shared" ca="1" si="2"/>
        <v>0.30115027082235257</v>
      </c>
      <c r="N97" s="268">
        <f t="shared" ca="1" si="2"/>
        <v>0.1931121109897129</v>
      </c>
      <c r="O97" s="268">
        <f t="shared" ca="1" si="2"/>
        <v>8.7149878494815425E-2</v>
      </c>
      <c r="P97" s="268">
        <f t="shared" ca="1" si="2"/>
        <v>5.7971362107860455E-2</v>
      </c>
    </row>
    <row r="98" spans="3:21" ht="5.0999999999999996" customHeight="1" x14ac:dyDescent="0.25"/>
    <row r="99" spans="3:21" x14ac:dyDescent="0.25">
      <c r="C99" s="8" t="s">
        <v>302</v>
      </c>
      <c r="D99" s="98" t="s">
        <v>41</v>
      </c>
      <c r="E99" s="8"/>
      <c r="J99" s="88"/>
      <c r="K99" s="271">
        <f t="shared" ref="K99:M99" ca="1" si="3">+K94/K97</f>
        <v>-0.1760404457274371</v>
      </c>
      <c r="L99" s="271">
        <f t="shared" ca="1" si="3"/>
        <v>7.6353166476880424E-2</v>
      </c>
      <c r="M99" s="271">
        <f t="shared" ca="1" si="3"/>
        <v>0.11013020973764451</v>
      </c>
      <c r="N99" s="271">
        <f ca="1">+N94/N97</f>
        <v>0.18083612003056287</v>
      </c>
      <c r="O99" s="271">
        <f ca="1">+O94/O97</f>
        <v>0.42027756058596027</v>
      </c>
      <c r="P99" s="271">
        <f t="shared" ref="P99" ca="1" si="4">+P94/P97</f>
        <v>0.45408471762107128</v>
      </c>
    </row>
    <row r="100" spans="3:21" ht="15.75" thickBot="1" x14ac:dyDescent="0.3">
      <c r="F100" s="59"/>
      <c r="G100" s="59"/>
      <c r="H100" s="59"/>
      <c r="I100" s="59"/>
      <c r="J100" s="59"/>
      <c r="K100" s="59"/>
      <c r="L100" s="59"/>
      <c r="M100" s="59"/>
      <c r="N100" s="59"/>
      <c r="O100" s="59"/>
      <c r="P100" s="59"/>
    </row>
    <row r="101" spans="3:21" x14ac:dyDescent="0.25">
      <c r="C101" s="284" t="s">
        <v>261</v>
      </c>
      <c r="D101" s="285"/>
      <c r="E101" s="286"/>
      <c r="F101" s="286"/>
      <c r="G101" s="286"/>
      <c r="H101" s="286"/>
      <c r="I101" s="286"/>
      <c r="J101" s="286"/>
      <c r="K101" s="286"/>
      <c r="L101" s="286"/>
      <c r="M101" s="286"/>
      <c r="N101" s="286"/>
      <c r="O101" s="286"/>
      <c r="P101" s="286"/>
      <c r="Q101" s="286"/>
      <c r="R101" s="287"/>
      <c r="S101" s="359" t="s">
        <v>558</v>
      </c>
      <c r="T101" s="360"/>
      <c r="U101" s="361"/>
    </row>
    <row r="102" spans="3:21" x14ac:dyDescent="0.25">
      <c r="F102" s="59"/>
      <c r="G102" s="59"/>
      <c r="H102" s="59"/>
      <c r="I102" s="59"/>
      <c r="J102" s="59"/>
      <c r="K102" s="59"/>
      <c r="L102" s="59"/>
      <c r="M102" s="59"/>
      <c r="N102" s="59"/>
      <c r="O102" s="59"/>
      <c r="P102" s="59"/>
    </row>
    <row r="103" spans="3:21" x14ac:dyDescent="0.25">
      <c r="C103" s="102" t="s">
        <v>245</v>
      </c>
    </row>
    <row r="104" spans="3:21" x14ac:dyDescent="0.25">
      <c r="C104" s="2" t="s">
        <v>246</v>
      </c>
      <c r="D104" s="96" t="s">
        <v>41</v>
      </c>
      <c r="G104" s="87"/>
      <c r="H104" s="26">
        <f>+'4. Input_Plan'!H84/(('4. Input_Plan'!H121+'4. Input_Plan'!G121)/2)</f>
        <v>0.4275688966294437</v>
      </c>
      <c r="I104" s="26">
        <f>+'4. Input_Plan'!I84/(('4. Input_Plan'!I121+'4. Input_Plan'!H121)/2)</f>
        <v>0.42247732426303869</v>
      </c>
      <c r="J104" s="26">
        <f>+'4. Input_Plan'!J84/(('4. Input_Plan'!J121+'4. Input_Plan'!I121)/2)</f>
        <v>0.31798538944335852</v>
      </c>
      <c r="K104" s="26">
        <f ca="1">+'4. Input_Plan'!K84/(('4. Input_Plan'!K121+'4. Input_Plan'!J121)/2)</f>
        <v>0.19152014368589909</v>
      </c>
      <c r="L104" s="26">
        <f ca="1">+'4. Input_Plan'!L84/(('4. Input_Plan'!L121+'4. Input_Plan'!K121)/2)</f>
        <v>0.15382487352550414</v>
      </c>
      <c r="M104" s="26">
        <f ca="1">+'4. Input_Plan'!M84/(('4. Input_Plan'!M121+'4. Input_Plan'!L121)/2)</f>
        <v>0.15201229832756896</v>
      </c>
      <c r="N104" s="26">
        <f ca="1">+'4. Input_Plan'!N84/(('4. Input_Plan'!N121+'4. Input_Plan'!M121)/2)</f>
        <v>0.15230094947983114</v>
      </c>
      <c r="O104" s="26">
        <f ca="1">+'4. Input_Plan'!O84/(('4. Input_Plan'!O121+'4. Input_Plan'!N121)/2)</f>
        <v>0.15460348032919938</v>
      </c>
      <c r="P104" s="26">
        <f ca="1">+'4. Input_Plan'!P84/(('4. Input_Plan'!P121+'4. Input_Plan'!O121)/2)</f>
        <v>0.15641096943894364</v>
      </c>
    </row>
    <row r="105" spans="3:21" ht="5.0999999999999996" customHeight="1" x14ac:dyDescent="0.25"/>
    <row r="106" spans="3:21" x14ac:dyDescent="0.25">
      <c r="C106" s="67" t="s">
        <v>249</v>
      </c>
      <c r="D106" s="96" t="s">
        <v>41</v>
      </c>
      <c r="G106" s="26">
        <f>+G60</f>
        <v>0.23050359712230203</v>
      </c>
      <c r="H106" s="26">
        <f t="shared" ref="H106:P106" si="5">+H60</f>
        <v>0.21971223021582723</v>
      </c>
      <c r="I106" s="26">
        <f t="shared" si="5"/>
        <v>0.24829787234042555</v>
      </c>
      <c r="J106" s="26">
        <f t="shared" si="5"/>
        <v>0.25175257731958772</v>
      </c>
      <c r="K106" s="26">
        <f t="shared" ca="1" si="5"/>
        <v>0.19291042636229744</v>
      </c>
      <c r="L106" s="26">
        <f t="shared" ca="1" si="5"/>
        <v>0.16518778506907925</v>
      </c>
      <c r="M106" s="26">
        <f t="shared" ca="1" si="5"/>
        <v>0.16347124174379429</v>
      </c>
      <c r="N106" s="26">
        <f t="shared" ca="1" si="5"/>
        <v>0.16205820218251438</v>
      </c>
      <c r="O106" s="26">
        <f t="shared" ca="1" si="5"/>
        <v>0.16092764777060037</v>
      </c>
      <c r="P106" s="26">
        <f t="shared" ca="1" si="5"/>
        <v>0.16338398740303275</v>
      </c>
    </row>
    <row r="107" spans="3:21" x14ac:dyDescent="0.25">
      <c r="C107" s="67" t="s">
        <v>250</v>
      </c>
      <c r="D107" s="96" t="s">
        <v>233</v>
      </c>
      <c r="G107" s="104">
        <f>+G65</f>
        <v>0</v>
      </c>
      <c r="H107" s="104">
        <f t="shared" ref="H107:P107" si="6">+H65</f>
        <v>1.4240344227025925</v>
      </c>
      <c r="I107" s="104">
        <f t="shared" si="6"/>
        <v>1.3321995464852614</v>
      </c>
      <c r="J107" s="104">
        <f t="shared" si="6"/>
        <v>0.99804506636485257</v>
      </c>
      <c r="K107" s="104">
        <f t="shared" ca="1" si="6"/>
        <v>0.69498549371922524</v>
      </c>
      <c r="L107" s="104">
        <f t="shared" ca="1" si="6"/>
        <v>0.56828227880550453</v>
      </c>
      <c r="M107" s="104">
        <f t="shared" ca="1" si="6"/>
        <v>0.57073640259879421</v>
      </c>
      <c r="N107" s="104">
        <f t="shared" ca="1" si="6"/>
        <v>0.58015132440703165</v>
      </c>
      <c r="O107" s="104">
        <f t="shared" ca="1" si="6"/>
        <v>0.59651953169375938</v>
      </c>
      <c r="P107" s="104">
        <f t="shared" ca="1" si="6"/>
        <v>0.59683489302114279</v>
      </c>
    </row>
    <row r="108" spans="3:21" x14ac:dyDescent="0.25">
      <c r="C108" s="67" t="s">
        <v>251</v>
      </c>
      <c r="D108" s="96" t="s">
        <v>41</v>
      </c>
      <c r="G108" s="87"/>
      <c r="H108" s="107">
        <f>+(('4. Input_Plan'!H121+'4. Input_Plan'!G121)/2)/(('4. Input_Plan'!H132+'4. Input_Plan'!G132)/2)</f>
        <v>2.4518965084149715</v>
      </c>
      <c r="I108" s="107">
        <f>+(('4. Input_Plan'!I121+'4. Input_Plan'!H121)/2)/(('4. Input_Plan'!I132+'4. Input_Plan'!H132)/2)</f>
        <v>1.799540933435348</v>
      </c>
      <c r="J108" s="107">
        <f>+(('4. Input_Plan'!J121+'4. Input_Plan'!I121)/2)/(('4. Input_Plan'!J132+'4. Input_Plan'!I132)/2)</f>
        <v>1.5404977016959898</v>
      </c>
      <c r="K108" s="107">
        <f ca="1">+(('4. Input_Plan'!K121+'4. Input_Plan'!J121)/2)/(('4. Input_Plan'!K132+'4. Input_Plan'!J132)/2)</f>
        <v>1.9462127679757162</v>
      </c>
      <c r="L108" s="107">
        <f ca="1">+(('4. Input_Plan'!L121+'4. Input_Plan'!K121)/2)/(('4. Input_Plan'!L132+'4. Input_Plan'!K132)/2)</f>
        <v>2.3648339656416106</v>
      </c>
      <c r="M108" s="107">
        <f ca="1">+(('4. Input_Plan'!M121+'4. Input_Plan'!L121)/2)/(('4. Input_Plan'!M132+'4. Input_Plan'!L132)/2)</f>
        <v>2.2590418346323173</v>
      </c>
      <c r="N108" s="107">
        <f ca="1">+(('4. Input_Plan'!N121+'4. Input_Plan'!M121)/2)/(('4. Input_Plan'!N132+'4. Input_Plan'!M132)/2)</f>
        <v>2.1975339040697501</v>
      </c>
      <c r="O108" s="107">
        <f ca="1">+(('4. Input_Plan'!O121+'4. Input_Plan'!N121)/2)/(('4. Input_Plan'!O132+'4. Input_Plan'!N132)/2)</f>
        <v>2.1700604365465237</v>
      </c>
      <c r="P108" s="107">
        <f ca="1">+(('4. Input_Plan'!P121+'4. Input_Plan'!O121)/2)/(('4. Input_Plan'!P132+'4. Input_Plan'!O132)/2)</f>
        <v>2.1733810626103427</v>
      </c>
    </row>
    <row r="109" spans="3:21" x14ac:dyDescent="0.25">
      <c r="C109" s="35" t="s">
        <v>252</v>
      </c>
      <c r="D109" s="109" t="s">
        <v>41</v>
      </c>
      <c r="E109" s="35"/>
      <c r="F109" s="35"/>
      <c r="G109" s="87"/>
      <c r="H109" s="108">
        <f>+'4. Input_Plan'!H93/(('4. Input_Plan'!H132+'4. Input_Plan'!G132)/2)</f>
        <v>0.76714393368500378</v>
      </c>
      <c r="I109" s="108">
        <f>+'4. Input_Plan'!I93/(('4. Input_Plan'!I132+'4. Input_Plan'!H132)/2)</f>
        <v>0.5952563121652642</v>
      </c>
      <c r="J109" s="108">
        <f>+'4. Input_Plan'!J93/(('4. Input_Plan'!J132+'4. Input_Plan'!I132)/2)</f>
        <v>0.38706609605325754</v>
      </c>
      <c r="K109" s="108">
        <f ca="1">+'4. Input_Plan'!K93/(('4. Input_Plan'!K132+'4. Input_Plan'!J132)/2)</f>
        <v>0.26092864442231073</v>
      </c>
      <c r="L109" s="108">
        <f ca="1">+'4. Input_Plan'!L93/(('4. Input_Plan'!L132+'4. Input_Plan'!K132)/2)</f>
        <v>0.22199474685756096</v>
      </c>
      <c r="M109" s="108">
        <f ca="1">+'4. Input_Plan'!M93/(('4. Input_Plan'!M132+'4. Input_Plan'!L132)/2)</f>
        <v>0.21076631801757267</v>
      </c>
      <c r="N109" s="108">
        <f ca="1">+'4. Input_Plan'!N93/(('4. Input_Plan'!N132+'4. Input_Plan'!M132)/2)</f>
        <v>0.20660835928063429</v>
      </c>
      <c r="O109" s="108">
        <f ca="1">+'4. Input_Plan'!O93/(('4. Input_Plan'!O132+'4. Input_Plan'!N132)/2)</f>
        <v>0.20831817432982899</v>
      </c>
      <c r="P109" s="108">
        <f ca="1">+'4. Input_Plan'!P93/(('4. Input_Plan'!P132+'4. Input_Plan'!O132)/2)</f>
        <v>0.21193348272853035</v>
      </c>
    </row>
    <row r="110" spans="3:21" ht="15.75" thickBot="1" x14ac:dyDescent="0.3"/>
    <row r="111" spans="3:21" x14ac:dyDescent="0.25">
      <c r="C111" s="284" t="s">
        <v>261</v>
      </c>
      <c r="D111" s="285"/>
      <c r="E111" s="286"/>
      <c r="F111" s="286"/>
      <c r="G111" s="286"/>
      <c r="H111" s="286"/>
      <c r="I111" s="286"/>
      <c r="J111" s="286"/>
      <c r="K111" s="286"/>
      <c r="L111" s="286"/>
      <c r="M111" s="286"/>
      <c r="N111" s="286"/>
      <c r="O111" s="286"/>
      <c r="P111" s="286"/>
      <c r="Q111" s="286"/>
      <c r="R111" s="287"/>
      <c r="S111" s="359" t="s">
        <v>558</v>
      </c>
      <c r="T111" s="360"/>
      <c r="U111" s="361"/>
    </row>
    <row r="112" spans="3:21" x14ac:dyDescent="0.25"/>
    <row r="113" spans="1:1" s="197" customFormat="1" ht="15" customHeight="1" x14ac:dyDescent="0.25">
      <c r="A113" s="197" t="s">
        <v>410</v>
      </c>
    </row>
    <row r="114" spans="1:1" hidden="1" x14ac:dyDescent="0.25"/>
    <row r="115" spans="1:1" hidden="1" x14ac:dyDescent="0.25"/>
    <row r="116" spans="1:1" hidden="1" x14ac:dyDescent="0.25"/>
  </sheetData>
  <mergeCells count="9">
    <mergeCell ref="S111:U111"/>
    <mergeCell ref="S14:U14"/>
    <mergeCell ref="S28:U28"/>
    <mergeCell ref="S42:U42"/>
    <mergeCell ref="S62:U62"/>
    <mergeCell ref="S71:U71"/>
    <mergeCell ref="S78:U78"/>
    <mergeCell ref="S85:U85"/>
    <mergeCell ref="S101:U101"/>
  </mergeCells>
  <pageMargins left="0.7" right="0.7" top="0.78740157499999996" bottom="0.78740157499999996"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7" id="{844B6B7A-A963-4FC0-8FCB-E4E112492E54}">
            <xm:f>K$48&gt;'2. Input_Allgemein'!$E$38</xm:f>
            <x14:dxf>
              <font>
                <color theme="1" tint="0.499984740745262"/>
              </font>
              <fill>
                <patternFill patternType="lightTrellis"/>
              </fill>
            </x14:dxf>
          </x14:cfRule>
          <xm:sqref>K50:O51 K53:O54 K56:O56 K59:O60</xm:sqref>
        </x14:conditionalFormatting>
        <x14:conditionalFormatting xmlns:xm="http://schemas.microsoft.com/office/excel/2006/main">
          <x14:cfRule type="expression" priority="6" id="{0C200CFE-B2DF-4261-9573-256394C28D4C}">
            <xm:f>K$48&gt;'2. Input_Allgemein'!$E$38</xm:f>
            <x14:dxf>
              <font>
                <color theme="1" tint="0.499984740745262"/>
              </font>
              <fill>
                <patternFill patternType="lightTrellis"/>
              </fill>
            </x14:dxf>
          </x14:cfRule>
          <xm:sqref>K65:O69</xm:sqref>
        </x14:conditionalFormatting>
        <x14:conditionalFormatting xmlns:xm="http://schemas.microsoft.com/office/excel/2006/main">
          <x14:cfRule type="expression" priority="5" id="{B0533FBE-DE59-4CBF-AA3F-679C28A902B7}">
            <xm:f>K$48&gt;'2. Input_Allgemein'!$E$38</xm:f>
            <x14:dxf>
              <font>
                <color theme="1" tint="0.499984740745262"/>
              </font>
              <fill>
                <patternFill patternType="lightTrellis"/>
              </fill>
            </x14:dxf>
          </x14:cfRule>
          <xm:sqref>K74:O76</xm:sqref>
        </x14:conditionalFormatting>
        <x14:conditionalFormatting xmlns:xm="http://schemas.microsoft.com/office/excel/2006/main">
          <x14:cfRule type="expression" priority="4" id="{23CDB689-DA0F-4E38-868B-057DB91F5974}">
            <xm:f>K$48&gt;'2. Input_Allgemein'!$E$38</xm:f>
            <x14:dxf>
              <font>
                <color theme="1" tint="0.499984740745262"/>
              </font>
              <fill>
                <patternFill patternType="lightTrellis"/>
              </fill>
            </x14:dxf>
          </x14:cfRule>
          <xm:sqref>K81:O83</xm:sqref>
        </x14:conditionalFormatting>
        <x14:conditionalFormatting xmlns:xm="http://schemas.microsoft.com/office/excel/2006/main">
          <x14:cfRule type="expression" priority="3" id="{A8019563-9316-49ED-BA76-98E1E917DD6B}">
            <xm:f>K$48&gt;'2. Input_Allgemein'!$E$38</xm:f>
            <x14:dxf>
              <font>
                <color theme="1" tint="0.499984740745262"/>
              </font>
              <fill>
                <patternFill patternType="lightTrellis"/>
              </fill>
            </x14:dxf>
          </x14:cfRule>
          <xm:sqref>K88:O91</xm:sqref>
        </x14:conditionalFormatting>
        <x14:conditionalFormatting xmlns:xm="http://schemas.microsoft.com/office/excel/2006/main">
          <x14:cfRule type="expression" priority="2" id="{D15414D7-A9FE-4ADA-B41A-7A91E8AD9E92}">
            <xm:f>K$48&gt;'2. Input_Allgemein'!$E$38</xm:f>
            <x14:dxf>
              <font>
                <color theme="1" tint="0.499984740745262"/>
              </font>
              <fill>
                <patternFill patternType="lightTrellis"/>
              </fill>
            </x14:dxf>
          </x14:cfRule>
          <xm:sqref>K93:O97</xm:sqref>
        </x14:conditionalFormatting>
        <x14:conditionalFormatting xmlns:xm="http://schemas.microsoft.com/office/excel/2006/main">
          <x14:cfRule type="expression" priority="1" id="{7604B163-1170-42D0-9A30-C14C31E84F5C}">
            <xm:f>K$48&gt;'2. Input_Allgemein'!$E$38</xm:f>
            <x14:dxf>
              <font>
                <color theme="1" tint="0.499984740745262"/>
              </font>
              <fill>
                <patternFill patternType="lightTrellis"/>
              </fill>
            </x14:dxf>
          </x14:cfRule>
          <xm:sqref>K99:O99</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82E7E-AFD2-4567-AE6C-5AFC3EC5E2BD}">
  <sheetPr>
    <tabColor theme="1"/>
  </sheetPr>
  <dimension ref="A2:L117"/>
  <sheetViews>
    <sheetView topLeftCell="A40" workbookViewId="0"/>
  </sheetViews>
  <sheetFormatPr baseColWidth="10" defaultRowHeight="15" x14ac:dyDescent="0.25"/>
  <cols>
    <col min="1" max="1" width="2.28515625" customWidth="1"/>
  </cols>
  <sheetData>
    <row r="2" spans="1:12" s="3" customFormat="1" ht="27" thickBot="1" x14ac:dyDescent="0.45">
      <c r="A2" s="3" t="s">
        <v>501</v>
      </c>
    </row>
    <row r="4" spans="1:12" ht="22.5" x14ac:dyDescent="0.35">
      <c r="B4" s="5" t="s">
        <v>1</v>
      </c>
      <c r="F4" s="257" t="s">
        <v>548</v>
      </c>
      <c r="G4" s="257"/>
      <c r="H4" s="257"/>
      <c r="J4" s="257" t="s">
        <v>548</v>
      </c>
      <c r="K4" s="257"/>
      <c r="L4" s="257"/>
    </row>
    <row r="5" spans="1:12" x14ac:dyDescent="0.25">
      <c r="E5" t="s">
        <v>6</v>
      </c>
      <c r="F5" t="s">
        <v>550</v>
      </c>
      <c r="G5" t="s">
        <v>551</v>
      </c>
      <c r="H5" t="s">
        <v>552</v>
      </c>
      <c r="J5" t="s">
        <v>550</v>
      </c>
      <c r="K5" t="s">
        <v>551</v>
      </c>
      <c r="L5" t="s">
        <v>552</v>
      </c>
    </row>
    <row r="6" spans="1:12" x14ac:dyDescent="0.25">
      <c r="B6" t="s">
        <v>6</v>
      </c>
    </row>
    <row r="7" spans="1:12" x14ac:dyDescent="0.25">
      <c r="B7" t="s">
        <v>5</v>
      </c>
      <c r="F7">
        <v>4.5</v>
      </c>
      <c r="G7">
        <v>6</v>
      </c>
      <c r="H7">
        <v>7.1</v>
      </c>
      <c r="J7">
        <v>3.5</v>
      </c>
      <c r="K7">
        <v>4.5999999999999996</v>
      </c>
      <c r="L7">
        <v>5.6</v>
      </c>
    </row>
    <row r="8" spans="1:12" x14ac:dyDescent="0.25">
      <c r="B8" t="s">
        <v>444</v>
      </c>
      <c r="F8">
        <v>4.5</v>
      </c>
      <c r="G8">
        <v>5.0999999999999996</v>
      </c>
      <c r="H8">
        <v>6.1</v>
      </c>
      <c r="J8">
        <v>2.8</v>
      </c>
      <c r="K8">
        <v>3.8</v>
      </c>
      <c r="L8">
        <v>4.7</v>
      </c>
    </row>
    <row r="9" spans="1:12" x14ac:dyDescent="0.25">
      <c r="B9" t="s">
        <v>445</v>
      </c>
      <c r="F9">
        <v>6.2</v>
      </c>
      <c r="G9">
        <v>8</v>
      </c>
      <c r="H9">
        <v>8.6999999999999993</v>
      </c>
      <c r="J9">
        <v>4.2</v>
      </c>
      <c r="K9">
        <v>5.5</v>
      </c>
      <c r="L9">
        <v>6.9</v>
      </c>
    </row>
    <row r="10" spans="1:12" x14ac:dyDescent="0.25">
      <c r="B10" t="s">
        <v>446</v>
      </c>
      <c r="F10">
        <v>4.2</v>
      </c>
      <c r="G10">
        <v>5.4</v>
      </c>
      <c r="H10">
        <v>7</v>
      </c>
      <c r="J10">
        <v>3.4</v>
      </c>
      <c r="K10">
        <v>3.9</v>
      </c>
      <c r="L10">
        <v>4.8</v>
      </c>
    </row>
    <row r="11" spans="1:12" x14ac:dyDescent="0.25">
      <c r="B11" t="s">
        <v>447</v>
      </c>
      <c r="F11">
        <v>4.5999999999999996</v>
      </c>
      <c r="G11">
        <v>6.4</v>
      </c>
      <c r="H11">
        <v>8.1</v>
      </c>
      <c r="J11">
        <v>3.6</v>
      </c>
      <c r="K11">
        <v>5.2</v>
      </c>
      <c r="L11">
        <v>6.4</v>
      </c>
    </row>
    <row r="12" spans="1:12" x14ac:dyDescent="0.25">
      <c r="B12" t="s">
        <v>448</v>
      </c>
      <c r="F12">
        <v>8</v>
      </c>
      <c r="G12">
        <v>9</v>
      </c>
      <c r="H12">
        <v>9.8000000000000007</v>
      </c>
      <c r="J12">
        <v>6.1</v>
      </c>
      <c r="K12">
        <v>6.8</v>
      </c>
      <c r="L12">
        <v>8</v>
      </c>
    </row>
    <row r="13" spans="1:12" x14ac:dyDescent="0.25">
      <c r="B13" t="s">
        <v>449</v>
      </c>
      <c r="F13">
        <v>8</v>
      </c>
      <c r="G13">
        <v>9.5</v>
      </c>
      <c r="H13">
        <v>10.9</v>
      </c>
      <c r="J13">
        <v>6.3</v>
      </c>
      <c r="K13">
        <v>7.8</v>
      </c>
      <c r="L13">
        <v>8.5</v>
      </c>
    </row>
    <row r="14" spans="1:12" x14ac:dyDescent="0.25">
      <c r="B14" t="s">
        <v>450</v>
      </c>
      <c r="F14">
        <v>6.8</v>
      </c>
      <c r="G14">
        <v>8.5</v>
      </c>
      <c r="H14">
        <v>10.5</v>
      </c>
      <c r="J14">
        <v>5.7</v>
      </c>
      <c r="K14">
        <v>6.8</v>
      </c>
      <c r="L14">
        <v>8.1</v>
      </c>
    </row>
    <row r="15" spans="1:12" x14ac:dyDescent="0.25">
      <c r="B15" t="s">
        <v>451</v>
      </c>
      <c r="F15">
        <v>5</v>
      </c>
      <c r="G15">
        <v>6.6</v>
      </c>
      <c r="H15">
        <v>7.7</v>
      </c>
      <c r="J15">
        <v>3.1</v>
      </c>
      <c r="K15">
        <v>4.9000000000000004</v>
      </c>
      <c r="L15">
        <v>6.1</v>
      </c>
    </row>
    <row r="16" spans="1:12" x14ac:dyDescent="0.25">
      <c r="B16" t="s">
        <v>452</v>
      </c>
      <c r="F16">
        <v>6.7</v>
      </c>
      <c r="G16">
        <v>7.9</v>
      </c>
      <c r="H16">
        <v>8.4</v>
      </c>
      <c r="J16">
        <v>4.8</v>
      </c>
      <c r="K16">
        <v>5.9</v>
      </c>
      <c r="L16">
        <v>6.8</v>
      </c>
    </row>
    <row r="17" spans="2:12" x14ac:dyDescent="0.25">
      <c r="B17" t="s">
        <v>453</v>
      </c>
      <c r="F17">
        <v>6</v>
      </c>
      <c r="G17">
        <v>7.2</v>
      </c>
      <c r="H17">
        <v>9.6</v>
      </c>
      <c r="J17">
        <v>4</v>
      </c>
      <c r="K17">
        <v>5.5</v>
      </c>
      <c r="L17">
        <v>7.7</v>
      </c>
    </row>
    <row r="18" spans="2:12" x14ac:dyDescent="0.25">
      <c r="B18" t="s">
        <v>454</v>
      </c>
      <c r="F18">
        <v>5.5</v>
      </c>
      <c r="G18">
        <v>7</v>
      </c>
      <c r="H18">
        <v>7.4</v>
      </c>
      <c r="J18">
        <v>3.5</v>
      </c>
      <c r="K18">
        <v>5</v>
      </c>
      <c r="L18">
        <v>6.1</v>
      </c>
    </row>
    <row r="19" spans="2:12" x14ac:dyDescent="0.25">
      <c r="B19" t="s">
        <v>455</v>
      </c>
      <c r="F19">
        <v>5</v>
      </c>
      <c r="G19">
        <v>5.8</v>
      </c>
      <c r="H19">
        <v>7.2</v>
      </c>
      <c r="J19">
        <v>3.8</v>
      </c>
      <c r="K19">
        <v>4.4000000000000004</v>
      </c>
      <c r="L19">
        <v>5.8</v>
      </c>
    </row>
    <row r="20" spans="2:12" x14ac:dyDescent="0.25">
      <c r="B20" t="s">
        <v>456</v>
      </c>
      <c r="F20">
        <v>5</v>
      </c>
      <c r="G20">
        <v>6.7</v>
      </c>
      <c r="H20">
        <v>7.6</v>
      </c>
      <c r="J20">
        <v>4.0999999999999996</v>
      </c>
      <c r="K20">
        <v>5.2</v>
      </c>
      <c r="L20">
        <v>6.3</v>
      </c>
    </row>
    <row r="21" spans="2:12" x14ac:dyDescent="0.25">
      <c r="B21" t="s">
        <v>457</v>
      </c>
      <c r="F21">
        <v>6.5</v>
      </c>
      <c r="G21">
        <v>7.7</v>
      </c>
      <c r="H21">
        <v>9.4</v>
      </c>
      <c r="J21">
        <v>5</v>
      </c>
      <c r="K21">
        <v>6</v>
      </c>
      <c r="L21">
        <v>7.9</v>
      </c>
    </row>
    <row r="22" spans="2:12" x14ac:dyDescent="0.25">
      <c r="B22" t="s">
        <v>458</v>
      </c>
      <c r="F22">
        <v>5.8</v>
      </c>
      <c r="G22">
        <v>7</v>
      </c>
      <c r="H22">
        <v>8</v>
      </c>
      <c r="J22">
        <v>4.4000000000000004</v>
      </c>
      <c r="K22">
        <v>5.5</v>
      </c>
      <c r="L22">
        <v>6.7</v>
      </c>
    </row>
    <row r="23" spans="2:12" x14ac:dyDescent="0.25">
      <c r="B23" t="s">
        <v>459</v>
      </c>
      <c r="F23">
        <v>4</v>
      </c>
      <c r="G23">
        <v>5.5</v>
      </c>
      <c r="H23">
        <v>6.1</v>
      </c>
      <c r="J23">
        <v>2.4</v>
      </c>
      <c r="K23">
        <v>3.5</v>
      </c>
      <c r="L23">
        <v>4.5999999999999996</v>
      </c>
    </row>
    <row r="24" spans="2:12" x14ac:dyDescent="0.25">
      <c r="B24" t="s">
        <v>460</v>
      </c>
      <c r="F24">
        <v>6.9</v>
      </c>
      <c r="G24">
        <v>7.3</v>
      </c>
      <c r="H24">
        <v>9.4</v>
      </c>
      <c r="J24">
        <v>4.3</v>
      </c>
      <c r="K24">
        <v>5.4</v>
      </c>
      <c r="L24">
        <v>7.5</v>
      </c>
    </row>
    <row r="25" spans="2:12" x14ac:dyDescent="0.25">
      <c r="B25" t="s">
        <v>461</v>
      </c>
      <c r="F25">
        <v>5</v>
      </c>
      <c r="G25">
        <v>5.6</v>
      </c>
      <c r="H25">
        <v>6.8</v>
      </c>
      <c r="J25">
        <v>3.4</v>
      </c>
      <c r="K25">
        <v>4.4000000000000004</v>
      </c>
      <c r="L25">
        <v>5.0999999999999996</v>
      </c>
    </row>
    <row r="26" spans="2:12" x14ac:dyDescent="0.25">
      <c r="B26" t="s">
        <v>462</v>
      </c>
      <c r="F26">
        <v>5.2</v>
      </c>
      <c r="G26">
        <v>5.6</v>
      </c>
      <c r="H26">
        <v>7</v>
      </c>
      <c r="J26">
        <v>3.7</v>
      </c>
      <c r="K26">
        <v>4.5</v>
      </c>
      <c r="L26">
        <v>5.6</v>
      </c>
    </row>
    <row r="29" spans="2:12" ht="22.5" x14ac:dyDescent="0.35">
      <c r="B29" s="5" t="s">
        <v>2</v>
      </c>
    </row>
    <row r="30" spans="2:12" x14ac:dyDescent="0.25">
      <c r="B30" t="s">
        <v>6</v>
      </c>
    </row>
    <row r="31" spans="2:12" x14ac:dyDescent="0.25">
      <c r="B31" t="s">
        <v>161</v>
      </c>
    </row>
    <row r="32" spans="2:12" x14ac:dyDescent="0.25">
      <c r="B32" t="s">
        <v>162</v>
      </c>
    </row>
    <row r="35" spans="1:9" ht="22.5" x14ac:dyDescent="0.35">
      <c r="B35" s="5" t="s">
        <v>13</v>
      </c>
    </row>
    <row r="36" spans="1:9" x14ac:dyDescent="0.25">
      <c r="B36" t="s">
        <v>6</v>
      </c>
    </row>
    <row r="37" spans="1:9" x14ac:dyDescent="0.25">
      <c r="B37" t="s">
        <v>7</v>
      </c>
    </row>
    <row r="38" spans="1:9" x14ac:dyDescent="0.25">
      <c r="B38" t="s">
        <v>9</v>
      </c>
    </row>
    <row r="39" spans="1:9" x14ac:dyDescent="0.25">
      <c r="B39" t="s">
        <v>10</v>
      </c>
    </row>
    <row r="40" spans="1:9" x14ac:dyDescent="0.25">
      <c r="B40" t="s">
        <v>11</v>
      </c>
    </row>
    <row r="41" spans="1:9" x14ac:dyDescent="0.25">
      <c r="B41" t="s">
        <v>12</v>
      </c>
    </row>
    <row r="42" spans="1:9" x14ac:dyDescent="0.25">
      <c r="B42" t="s">
        <v>8</v>
      </c>
    </row>
    <row r="44" spans="1:9" s="3" customFormat="1" ht="27" thickBot="1" x14ac:dyDescent="0.45">
      <c r="A44" s="3" t="s">
        <v>502</v>
      </c>
      <c r="I44" s="3" t="s">
        <v>28</v>
      </c>
    </row>
    <row r="46" spans="1:9" ht="22.5" x14ac:dyDescent="0.35">
      <c r="B46" s="5" t="s">
        <v>17</v>
      </c>
    </row>
    <row r="47" spans="1:9" x14ac:dyDescent="0.25">
      <c r="B47" t="s">
        <v>6</v>
      </c>
    </row>
    <row r="48" spans="1:9" x14ac:dyDescent="0.25">
      <c r="B48" t="s">
        <v>470</v>
      </c>
    </row>
    <row r="49" spans="1:9" x14ac:dyDescent="0.25">
      <c r="B49" t="s">
        <v>323</v>
      </c>
    </row>
    <row r="50" spans="1:9" x14ac:dyDescent="0.25">
      <c r="B50" t="s">
        <v>471</v>
      </c>
    </row>
    <row r="51" spans="1:9" x14ac:dyDescent="0.25">
      <c r="B51" t="s">
        <v>472</v>
      </c>
    </row>
    <row r="52" spans="1:9" x14ac:dyDescent="0.25">
      <c r="B52" t="s">
        <v>473</v>
      </c>
    </row>
    <row r="55" spans="1:9" ht="22.5" x14ac:dyDescent="0.35">
      <c r="B55" s="5" t="s">
        <v>6</v>
      </c>
    </row>
    <row r="56" spans="1:9" x14ac:dyDescent="0.25">
      <c r="B56" t="s">
        <v>24</v>
      </c>
    </row>
    <row r="57" spans="1:9" x14ac:dyDescent="0.25">
      <c r="B57" t="s">
        <v>25</v>
      </c>
    </row>
    <row r="59" spans="1:9" s="3" customFormat="1" ht="27" thickBot="1" x14ac:dyDescent="0.45">
      <c r="A59" s="3" t="s">
        <v>660</v>
      </c>
      <c r="I59" s="3" t="s">
        <v>28</v>
      </c>
    </row>
    <row r="61" spans="1:9" x14ac:dyDescent="0.25">
      <c r="B61" t="s">
        <v>653</v>
      </c>
    </row>
    <row r="62" spans="1:9" x14ac:dyDescent="0.25">
      <c r="B62" t="s">
        <v>6</v>
      </c>
    </row>
    <row r="63" spans="1:9" x14ac:dyDescent="0.25">
      <c r="B63" s="311">
        <v>0</v>
      </c>
    </row>
    <row r="64" spans="1:9" x14ac:dyDescent="0.25">
      <c r="B64" s="312">
        <v>5.0000000000000001E-3</v>
      </c>
    </row>
    <row r="65" spans="1:9" x14ac:dyDescent="0.25">
      <c r="B65" s="312">
        <v>0.01</v>
      </c>
    </row>
    <row r="66" spans="1:9" x14ac:dyDescent="0.25">
      <c r="B66" s="312">
        <v>1.4999999999999999E-2</v>
      </c>
    </row>
    <row r="67" spans="1:9" x14ac:dyDescent="0.25">
      <c r="B67" s="312">
        <v>0.02</v>
      </c>
    </row>
    <row r="69" spans="1:9" s="3" customFormat="1" ht="27" thickBot="1" x14ac:dyDescent="0.45">
      <c r="A69" s="3" t="s">
        <v>547</v>
      </c>
      <c r="I69" s="3" t="s">
        <v>28</v>
      </c>
    </row>
    <row r="72" spans="1:9" x14ac:dyDescent="0.25">
      <c r="B72" t="s">
        <v>545</v>
      </c>
    </row>
    <row r="80" spans="1:9" x14ac:dyDescent="0.25">
      <c r="B80" t="s">
        <v>546</v>
      </c>
    </row>
    <row r="92" spans="7:10" x14ac:dyDescent="0.25">
      <c r="G92" t="s">
        <v>549</v>
      </c>
      <c r="H92">
        <v>3.5</v>
      </c>
      <c r="I92">
        <v>4.5999999999999996</v>
      </c>
      <c r="J92">
        <v>5.6</v>
      </c>
    </row>
    <row r="93" spans="7:10" x14ac:dyDescent="0.25">
      <c r="G93" t="s">
        <v>444</v>
      </c>
      <c r="H93">
        <v>2.8</v>
      </c>
      <c r="I93">
        <v>3.8</v>
      </c>
      <c r="J93">
        <v>4.7</v>
      </c>
    </row>
    <row r="94" spans="7:10" x14ac:dyDescent="0.25">
      <c r="G94" t="s">
        <v>445</v>
      </c>
      <c r="H94">
        <v>4.2</v>
      </c>
      <c r="I94">
        <v>5.5</v>
      </c>
      <c r="J94">
        <v>6.9</v>
      </c>
    </row>
    <row r="95" spans="7:10" x14ac:dyDescent="0.25">
      <c r="G95" t="s">
        <v>446</v>
      </c>
      <c r="H95">
        <v>3.4</v>
      </c>
      <c r="I95">
        <v>3.9</v>
      </c>
      <c r="J95">
        <v>4.8</v>
      </c>
    </row>
    <row r="96" spans="7:10" x14ac:dyDescent="0.25">
      <c r="G96" t="s">
        <v>447</v>
      </c>
      <c r="H96">
        <v>3.6</v>
      </c>
      <c r="I96">
        <v>5.2</v>
      </c>
      <c r="J96">
        <v>6.4</v>
      </c>
    </row>
    <row r="97" spans="7:10" x14ac:dyDescent="0.25">
      <c r="G97" t="s">
        <v>448</v>
      </c>
      <c r="H97">
        <v>6.1</v>
      </c>
      <c r="I97">
        <v>6.8</v>
      </c>
      <c r="J97">
        <v>8</v>
      </c>
    </row>
    <row r="98" spans="7:10" x14ac:dyDescent="0.25">
      <c r="G98" t="s">
        <v>449</v>
      </c>
      <c r="H98">
        <v>6.3</v>
      </c>
      <c r="I98">
        <v>7.8</v>
      </c>
      <c r="J98">
        <v>8.5</v>
      </c>
    </row>
    <row r="99" spans="7:10" x14ac:dyDescent="0.25">
      <c r="G99" t="s">
        <v>450</v>
      </c>
      <c r="H99">
        <v>5.7</v>
      </c>
      <c r="I99">
        <v>6.8</v>
      </c>
      <c r="J99">
        <v>8.1</v>
      </c>
    </row>
    <row r="100" spans="7:10" x14ac:dyDescent="0.25">
      <c r="G100" t="s">
        <v>451</v>
      </c>
      <c r="H100">
        <v>3.1</v>
      </c>
      <c r="I100">
        <v>4.9000000000000004</v>
      </c>
      <c r="J100">
        <v>6.1</v>
      </c>
    </row>
    <row r="101" spans="7:10" x14ac:dyDescent="0.25">
      <c r="G101" t="s">
        <v>452</v>
      </c>
      <c r="H101">
        <v>4.8</v>
      </c>
      <c r="I101">
        <v>5.9</v>
      </c>
      <c r="J101">
        <v>6.8</v>
      </c>
    </row>
    <row r="102" spans="7:10" x14ac:dyDescent="0.25">
      <c r="G102" t="s">
        <v>453</v>
      </c>
      <c r="H102">
        <v>4</v>
      </c>
      <c r="I102">
        <v>5.5</v>
      </c>
      <c r="J102">
        <v>7.7</v>
      </c>
    </row>
    <row r="103" spans="7:10" x14ac:dyDescent="0.25">
      <c r="G103" t="s">
        <v>454</v>
      </c>
      <c r="H103">
        <v>3.5</v>
      </c>
      <c r="I103">
        <v>5</v>
      </c>
      <c r="J103">
        <v>6.1</v>
      </c>
    </row>
    <row r="104" spans="7:10" x14ac:dyDescent="0.25">
      <c r="G104" t="s">
        <v>455</v>
      </c>
      <c r="H104">
        <v>3.8</v>
      </c>
      <c r="I104">
        <v>4.4000000000000004</v>
      </c>
      <c r="J104">
        <v>5.8</v>
      </c>
    </row>
    <row r="105" spans="7:10" x14ac:dyDescent="0.25">
      <c r="G105" t="s">
        <v>456</v>
      </c>
      <c r="H105">
        <v>4.0999999999999996</v>
      </c>
      <c r="I105">
        <v>5.2</v>
      </c>
      <c r="J105">
        <v>6.3</v>
      </c>
    </row>
    <row r="106" spans="7:10" x14ac:dyDescent="0.25">
      <c r="G106" t="s">
        <v>457</v>
      </c>
      <c r="H106">
        <v>5</v>
      </c>
      <c r="I106">
        <v>6</v>
      </c>
      <c r="J106">
        <v>7.9</v>
      </c>
    </row>
    <row r="107" spans="7:10" x14ac:dyDescent="0.25">
      <c r="G107" t="s">
        <v>458</v>
      </c>
      <c r="H107">
        <v>4.4000000000000004</v>
      </c>
      <c r="I107">
        <v>5.5</v>
      </c>
      <c r="J107">
        <v>6.7</v>
      </c>
    </row>
    <row r="108" spans="7:10" x14ac:dyDescent="0.25">
      <c r="G108" t="s">
        <v>459</v>
      </c>
      <c r="H108">
        <v>2.4</v>
      </c>
      <c r="I108">
        <v>3.5</v>
      </c>
      <c r="J108">
        <v>4.5999999999999996</v>
      </c>
    </row>
    <row r="109" spans="7:10" x14ac:dyDescent="0.25">
      <c r="G109" t="s">
        <v>460</v>
      </c>
      <c r="H109">
        <v>4.3</v>
      </c>
      <c r="I109">
        <v>5.4</v>
      </c>
      <c r="J109">
        <v>7.5</v>
      </c>
    </row>
    <row r="110" spans="7:10" x14ac:dyDescent="0.25">
      <c r="G110" t="s">
        <v>461</v>
      </c>
      <c r="H110">
        <v>3.4</v>
      </c>
      <c r="I110">
        <v>4.4000000000000004</v>
      </c>
      <c r="J110">
        <v>5.0999999999999996</v>
      </c>
    </row>
    <row r="111" spans="7:10" x14ac:dyDescent="0.25">
      <c r="G111" t="s">
        <v>462</v>
      </c>
      <c r="H111">
        <v>3.7</v>
      </c>
      <c r="I111">
        <v>4.5</v>
      </c>
      <c r="J111">
        <v>5.6</v>
      </c>
    </row>
    <row r="115" spans="2:3" x14ac:dyDescent="0.25">
      <c r="B115" t="s">
        <v>594</v>
      </c>
      <c r="C115">
        <v>1</v>
      </c>
    </row>
    <row r="116" spans="2:3" x14ac:dyDescent="0.25">
      <c r="B116" t="s">
        <v>400</v>
      </c>
      <c r="C116">
        <v>1000</v>
      </c>
    </row>
    <row r="117" spans="2:3" x14ac:dyDescent="0.25">
      <c r="B117" t="s">
        <v>595</v>
      </c>
      <c r="C117">
        <v>1000000</v>
      </c>
    </row>
  </sheetData>
  <pageMargins left="0.7" right="0.7" top="0.78740157499999996" bottom="0.78740157499999996"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0D59D-C3EA-408D-9A60-6AFCE8E46C17}">
  <sheetPr>
    <tabColor theme="0"/>
  </sheetPr>
  <dimension ref="A1:M27"/>
  <sheetViews>
    <sheetView showGridLines="0" zoomScaleNormal="100" workbookViewId="0">
      <selection activeCell="C12" sqref="C12:D14"/>
    </sheetView>
  </sheetViews>
  <sheetFormatPr baseColWidth="10" defaultColWidth="0" defaultRowHeight="15" customHeight="1" zeroHeight="1" x14ac:dyDescent="0.25"/>
  <cols>
    <col min="1" max="1" width="2.28515625" style="2" customWidth="1"/>
    <col min="2" max="2" width="5.7109375" style="2" customWidth="1"/>
    <col min="3" max="3" width="50.7109375" style="2" customWidth="1"/>
    <col min="4" max="4" width="100.7109375" style="2" customWidth="1"/>
    <col min="5" max="5" width="2.28515625" style="2" customWidth="1"/>
    <col min="6" max="6" width="12.7109375" style="2" customWidth="1"/>
    <col min="7" max="9" width="2.28515625" style="2" customWidth="1"/>
    <col min="10" max="13" width="0" style="2" hidden="1" customWidth="1"/>
    <col min="14" max="16384" width="11.42578125" style="2" hidden="1"/>
  </cols>
  <sheetData>
    <row r="1" spans="1:7" s="1" customFormat="1" ht="23.25" x14ac:dyDescent="0.35">
      <c r="A1" s="1" t="str">
        <f>+"Erweiterte Unternehmensbewertung - Daten Check |" &amp;'2. Input_Allgemein'!E25</f>
        <v>Erweiterte Unternehmensbewertung - Daten Check |Beispiel AG</v>
      </c>
    </row>
    <row r="2" spans="1:7" ht="5.0999999999999996" customHeight="1" x14ac:dyDescent="0.25">
      <c r="E2" s="184"/>
      <c r="F2" s="185"/>
      <c r="G2" s="184"/>
    </row>
    <row r="3" spans="1:7" x14ac:dyDescent="0.25">
      <c r="E3" s="184"/>
      <c r="F3" s="185"/>
      <c r="G3" s="184"/>
    </row>
    <row r="4" spans="1:7" ht="127.5" customHeight="1" x14ac:dyDescent="0.25">
      <c r="C4" s="317" t="s">
        <v>438</v>
      </c>
      <c r="D4" s="317"/>
      <c r="E4" s="317"/>
      <c r="F4" s="317"/>
      <c r="G4" s="184"/>
    </row>
    <row r="5" spans="1:7" x14ac:dyDescent="0.25">
      <c r="E5" s="184"/>
      <c r="F5" s="185"/>
      <c r="G5" s="184"/>
    </row>
    <row r="6" spans="1:7" x14ac:dyDescent="0.25">
      <c r="B6" s="186" t="s">
        <v>341</v>
      </c>
      <c r="C6" s="186" t="s">
        <v>412</v>
      </c>
      <c r="D6" s="186" t="s">
        <v>340</v>
      </c>
      <c r="E6" s="184"/>
      <c r="F6" s="196" t="s">
        <v>342</v>
      </c>
      <c r="G6" s="184"/>
    </row>
    <row r="7" spans="1:7" ht="30" customHeight="1" x14ac:dyDescent="0.25">
      <c r="B7" s="187">
        <v>1</v>
      </c>
      <c r="C7" s="187" t="s">
        <v>420</v>
      </c>
      <c r="D7" s="188" t="s">
        <v>421</v>
      </c>
      <c r="E7" s="184"/>
      <c r="F7" s="219" t="b">
        <v>0</v>
      </c>
      <c r="G7" s="184"/>
    </row>
    <row r="8" spans="1:7" ht="30" customHeight="1" x14ac:dyDescent="0.25">
      <c r="B8" s="187">
        <f>+B7+1</f>
        <v>2</v>
      </c>
      <c r="C8" s="187" t="s">
        <v>418</v>
      </c>
      <c r="D8" s="188" t="s">
        <v>422</v>
      </c>
      <c r="E8" s="184"/>
      <c r="F8" s="219" t="b">
        <v>0</v>
      </c>
      <c r="G8" s="184"/>
    </row>
    <row r="9" spans="1:7" ht="30" customHeight="1" x14ac:dyDescent="0.25">
      <c r="B9" s="187">
        <f>+B8+1</f>
        <v>3</v>
      </c>
      <c r="C9" s="187" t="s">
        <v>401</v>
      </c>
      <c r="D9" s="188" t="s">
        <v>423</v>
      </c>
      <c r="E9" s="184"/>
      <c r="F9" s="219" t="b">
        <v>0</v>
      </c>
      <c r="G9" s="184"/>
    </row>
    <row r="10" spans="1:7" ht="30" customHeight="1" x14ac:dyDescent="0.25">
      <c r="B10" s="187">
        <f>+B8+1</f>
        <v>3</v>
      </c>
      <c r="C10" s="187" t="s">
        <v>424</v>
      </c>
      <c r="D10" s="188" t="s">
        <v>425</v>
      </c>
      <c r="E10" s="184"/>
      <c r="F10" s="219" t="b">
        <v>0</v>
      </c>
      <c r="G10" s="184"/>
    </row>
    <row r="11" spans="1:7" ht="30" customHeight="1" x14ac:dyDescent="0.25">
      <c r="B11" s="187">
        <f>+B10+1</f>
        <v>4</v>
      </c>
      <c r="C11" s="187" t="s">
        <v>427</v>
      </c>
      <c r="D11" s="188" t="s">
        <v>426</v>
      </c>
      <c r="E11" s="184"/>
      <c r="F11" s="219" t="b">
        <v>0</v>
      </c>
      <c r="G11" s="184"/>
    </row>
    <row r="12" spans="1:7" ht="30" customHeight="1" x14ac:dyDescent="0.25">
      <c r="B12" s="187">
        <f t="shared" ref="B12:B23" si="0">+B11+1</f>
        <v>5</v>
      </c>
      <c r="C12" s="187" t="s">
        <v>429</v>
      </c>
      <c r="D12" s="188" t="s">
        <v>428</v>
      </c>
      <c r="E12" s="184"/>
      <c r="F12" s="219" t="b">
        <v>0</v>
      </c>
      <c r="G12" s="184"/>
    </row>
    <row r="13" spans="1:7" ht="30" customHeight="1" x14ac:dyDescent="0.25">
      <c r="B13" s="187">
        <f t="shared" si="0"/>
        <v>6</v>
      </c>
      <c r="C13" s="187" t="s">
        <v>343</v>
      </c>
      <c r="D13" s="188" t="s">
        <v>430</v>
      </c>
      <c r="E13" s="184"/>
      <c r="F13" s="219" t="b">
        <v>0</v>
      </c>
      <c r="G13" s="184"/>
    </row>
    <row r="14" spans="1:7" ht="30" customHeight="1" x14ac:dyDescent="0.25">
      <c r="B14" s="187">
        <f t="shared" si="0"/>
        <v>7</v>
      </c>
      <c r="C14" s="187" t="s">
        <v>404</v>
      </c>
      <c r="D14" s="188" t="s">
        <v>431</v>
      </c>
      <c r="E14" s="184"/>
      <c r="F14" s="219" t="b">
        <v>0</v>
      </c>
      <c r="G14" s="184"/>
    </row>
    <row r="15" spans="1:7" ht="30" customHeight="1" x14ac:dyDescent="0.25">
      <c r="B15" s="187">
        <f t="shared" si="0"/>
        <v>8</v>
      </c>
      <c r="C15" s="187" t="s">
        <v>405</v>
      </c>
      <c r="D15" s="188" t="s">
        <v>432</v>
      </c>
      <c r="E15" s="184"/>
      <c r="F15" s="219" t="b">
        <v>0</v>
      </c>
      <c r="G15" s="184"/>
    </row>
    <row r="16" spans="1:7" ht="30" customHeight="1" x14ac:dyDescent="0.25">
      <c r="B16" s="187">
        <f t="shared" si="0"/>
        <v>9</v>
      </c>
      <c r="C16" s="187" t="s">
        <v>406</v>
      </c>
      <c r="D16" s="188" t="s">
        <v>433</v>
      </c>
      <c r="E16" s="184"/>
      <c r="F16" s="219" t="b">
        <v>0</v>
      </c>
      <c r="G16" s="184"/>
    </row>
    <row r="17" spans="1:7" ht="30" customHeight="1" x14ac:dyDescent="0.25">
      <c r="B17" s="187">
        <f t="shared" si="0"/>
        <v>10</v>
      </c>
      <c r="C17" s="187" t="s">
        <v>441</v>
      </c>
      <c r="D17" s="188" t="s">
        <v>442</v>
      </c>
      <c r="E17" s="184"/>
      <c r="F17" s="219" t="b">
        <v>0</v>
      </c>
      <c r="G17" s="184"/>
    </row>
    <row r="18" spans="1:7" ht="30" customHeight="1" x14ac:dyDescent="0.25">
      <c r="B18" s="187">
        <f t="shared" si="0"/>
        <v>11</v>
      </c>
      <c r="C18" s="187" t="s">
        <v>402</v>
      </c>
      <c r="D18" s="188" t="s">
        <v>434</v>
      </c>
      <c r="E18" s="184"/>
      <c r="F18" s="219" t="b">
        <v>0</v>
      </c>
      <c r="G18" s="184"/>
    </row>
    <row r="19" spans="1:7" ht="30" customHeight="1" x14ac:dyDescent="0.25">
      <c r="B19" s="187">
        <f t="shared" si="0"/>
        <v>12</v>
      </c>
      <c r="C19" s="187" t="s">
        <v>403</v>
      </c>
      <c r="D19" s="188" t="s">
        <v>435</v>
      </c>
      <c r="E19" s="184"/>
      <c r="F19" s="219" t="b">
        <v>0</v>
      </c>
      <c r="G19" s="184"/>
    </row>
    <row r="20" spans="1:7" ht="30" customHeight="1" x14ac:dyDescent="0.25">
      <c r="B20" s="187">
        <f t="shared" si="0"/>
        <v>13</v>
      </c>
      <c r="C20" s="187" t="s">
        <v>439</v>
      </c>
      <c r="D20" s="188" t="s">
        <v>440</v>
      </c>
      <c r="E20" s="184"/>
      <c r="F20" s="219" t="b">
        <v>0</v>
      </c>
      <c r="G20" s="184"/>
    </row>
    <row r="21" spans="1:7" ht="30" customHeight="1" x14ac:dyDescent="0.25">
      <c r="B21" s="187">
        <f t="shared" si="0"/>
        <v>14</v>
      </c>
      <c r="C21" s="187" t="s">
        <v>419</v>
      </c>
      <c r="D21" s="188" t="s">
        <v>436</v>
      </c>
      <c r="E21" s="184"/>
      <c r="F21" s="219" t="b">
        <v>0</v>
      </c>
      <c r="G21" s="184"/>
    </row>
    <row r="22" spans="1:7" ht="30" customHeight="1" x14ac:dyDescent="0.25">
      <c r="B22" s="187">
        <f t="shared" si="0"/>
        <v>15</v>
      </c>
      <c r="C22" s="187"/>
      <c r="D22" s="188"/>
      <c r="E22" s="184"/>
      <c r="F22" s="219" t="b">
        <v>0</v>
      </c>
      <c r="G22" s="184"/>
    </row>
    <row r="23" spans="1:7" ht="30" customHeight="1" x14ac:dyDescent="0.25">
      <c r="B23" s="187">
        <f t="shared" si="0"/>
        <v>16</v>
      </c>
      <c r="C23" s="187"/>
      <c r="D23" s="188"/>
      <c r="E23" s="184"/>
      <c r="F23" s="219" t="b">
        <v>0</v>
      </c>
      <c r="G23" s="184"/>
    </row>
    <row r="24" spans="1:7" x14ac:dyDescent="0.25"/>
    <row r="25" spans="1:7" ht="17.25" x14ac:dyDescent="0.25">
      <c r="B25" s="189" t="s">
        <v>437</v>
      </c>
      <c r="C25" s="189"/>
    </row>
    <row r="26" spans="1:7" x14ac:dyDescent="0.25"/>
    <row r="27" spans="1:7" s="197" customFormat="1" ht="15" customHeight="1" x14ac:dyDescent="0.25">
      <c r="A27" s="197" t="s">
        <v>410</v>
      </c>
    </row>
  </sheetData>
  <mergeCells count="1">
    <mergeCell ref="C4:F4"/>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A8278-CA56-4070-BE4D-925F3A888007}">
  <sheetPr>
    <tabColor theme="0"/>
    <pageSetUpPr fitToPage="1"/>
  </sheetPr>
  <dimension ref="A1:T39"/>
  <sheetViews>
    <sheetView showGridLines="0" zoomScaleNormal="100" workbookViewId="0"/>
  </sheetViews>
  <sheetFormatPr baseColWidth="10" defaultColWidth="0" defaultRowHeight="0" customHeight="1" zeroHeight="1" x14ac:dyDescent="0.25"/>
  <cols>
    <col min="1" max="2" width="2.7109375" style="374" customWidth="1"/>
    <col min="3" max="3" width="75.7109375" style="374" customWidth="1"/>
    <col min="4" max="4" width="10.7109375" style="374" customWidth="1"/>
    <col min="5" max="5" width="30.7109375" style="374" customWidth="1"/>
    <col min="6" max="6" width="5.7109375" style="374" customWidth="1"/>
    <col min="7" max="10" width="13.7109375" style="374" customWidth="1"/>
    <col min="11" max="11" width="2.28515625" style="374" customWidth="1"/>
    <col min="12" max="12" width="65" style="374" customWidth="1"/>
    <col min="13" max="14" width="2.28515625" style="374" customWidth="1"/>
    <col min="15" max="16" width="13.7109375" style="374" hidden="1" customWidth="1"/>
    <col min="17" max="20" width="12.7109375" style="374" hidden="1" customWidth="1"/>
    <col min="21" max="16384" width="11.42578125" style="374" hidden="1"/>
  </cols>
  <sheetData>
    <row r="1" spans="1:20" s="1" customFormat="1" ht="23.25" x14ac:dyDescent="0.35">
      <c r="A1" s="373" t="str">
        <f>+"Vereinfachtes Ertragswertverfahren nach §§ 199 BewG für "&amp;E9</f>
        <v>Vereinfachtes Ertragswertverfahren nach §§ 199 BewG für Beispiel AG</v>
      </c>
      <c r="B1" s="373"/>
      <c r="C1" s="373"/>
      <c r="D1" s="373"/>
    </row>
    <row r="2" spans="1:20" s="2" customFormat="1" ht="5.0999999999999996" customHeight="1" x14ac:dyDescent="0.25">
      <c r="A2" s="374"/>
      <c r="B2" s="374"/>
      <c r="C2" s="374"/>
      <c r="D2" s="374"/>
    </row>
    <row r="3" spans="1:20" s="2" customFormat="1" ht="15" x14ac:dyDescent="0.25">
      <c r="A3" s="374"/>
      <c r="B3" s="374"/>
      <c r="C3" s="374"/>
      <c r="D3" s="374"/>
    </row>
    <row r="4" spans="1:20" s="2" customFormat="1" ht="0" hidden="1" customHeight="1" x14ac:dyDescent="0.25">
      <c r="A4" s="374"/>
      <c r="B4" s="374"/>
      <c r="C4" s="374"/>
      <c r="D4" s="374"/>
    </row>
    <row r="5" spans="1:20" s="2" customFormat="1" ht="0" hidden="1" customHeight="1" x14ac:dyDescent="0.25">
      <c r="A5" s="374"/>
      <c r="B5" s="374"/>
      <c r="C5" s="374"/>
      <c r="D5" s="374"/>
    </row>
    <row r="6" spans="1:20" s="3" customFormat="1" ht="27" thickBot="1" x14ac:dyDescent="0.45">
      <c r="A6" s="375" t="s">
        <v>345</v>
      </c>
      <c r="B6" s="375"/>
      <c r="C6" s="375"/>
      <c r="D6" s="375"/>
      <c r="I6" s="3" t="s">
        <v>28</v>
      </c>
      <c r="L6" s="375"/>
    </row>
    <row r="7" spans="1:20" s="2" customFormat="1" ht="15" x14ac:dyDescent="0.25">
      <c r="A7" s="374"/>
      <c r="B7" s="374"/>
      <c r="C7" s="374"/>
      <c r="D7" s="374"/>
      <c r="L7" s="374"/>
    </row>
    <row r="8" spans="1:20" s="2" customFormat="1" ht="22.5" x14ac:dyDescent="0.35">
      <c r="A8" s="374"/>
      <c r="B8" s="374"/>
      <c r="C8" s="374"/>
      <c r="D8" s="374"/>
      <c r="L8" s="544" t="s">
        <v>413</v>
      </c>
      <c r="M8" s="5"/>
    </row>
    <row r="9" spans="1:20" s="2" customFormat="1" ht="15" x14ac:dyDescent="0.25">
      <c r="A9" s="374"/>
      <c r="B9" s="374"/>
      <c r="C9" s="374" t="s">
        <v>0</v>
      </c>
      <c r="D9" s="374"/>
      <c r="E9" s="362" t="s">
        <v>416</v>
      </c>
      <c r="L9" s="374"/>
    </row>
    <row r="10" spans="1:20" s="2" customFormat="1" ht="15" x14ac:dyDescent="0.25">
      <c r="A10" s="374"/>
      <c r="B10" s="374"/>
      <c r="C10" s="374" t="s">
        <v>1</v>
      </c>
      <c r="D10" s="388" t="s">
        <v>27</v>
      </c>
      <c r="E10" s="363" t="s">
        <v>5</v>
      </c>
      <c r="G10" s="7"/>
      <c r="L10" s="392" t="s">
        <v>443</v>
      </c>
      <c r="T10" s="2">
        <f>+IF(E10="bitte auswählen",0,1)</f>
        <v>1</v>
      </c>
    </row>
    <row r="11" spans="1:20" s="2" customFormat="1" ht="5.0999999999999996" customHeight="1" x14ac:dyDescent="0.25">
      <c r="A11" s="374"/>
      <c r="B11" s="374"/>
      <c r="C11" s="374"/>
      <c r="D11" s="374"/>
      <c r="L11" s="374"/>
      <c r="P11" s="2">
        <v>39</v>
      </c>
      <c r="Q11" s="2">
        <v>0</v>
      </c>
      <c r="R11" s="39">
        <v>0.6</v>
      </c>
    </row>
    <row r="12" spans="1:20" s="2" customFormat="1" ht="15" x14ac:dyDescent="0.25">
      <c r="A12" s="374"/>
      <c r="B12" s="374"/>
      <c r="C12" s="374" t="s">
        <v>346</v>
      </c>
      <c r="D12" s="388" t="s">
        <v>15</v>
      </c>
      <c r="E12" s="364">
        <v>2026</v>
      </c>
      <c r="L12" s="392" t="s">
        <v>590</v>
      </c>
    </row>
    <row r="13" spans="1:20" s="2" customFormat="1" ht="5.0999999999999996" customHeight="1" x14ac:dyDescent="0.25">
      <c r="A13" s="374"/>
      <c r="B13" s="374"/>
      <c r="C13" s="374"/>
      <c r="D13" s="374"/>
      <c r="L13" s="374"/>
      <c r="P13" s="2">
        <v>39</v>
      </c>
      <c r="Q13" s="2">
        <v>0</v>
      </c>
      <c r="R13" s="39">
        <v>0.6</v>
      </c>
    </row>
    <row r="14" spans="1:20" s="2" customFormat="1" ht="15" x14ac:dyDescent="0.25">
      <c r="A14" s="374"/>
      <c r="B14" s="374"/>
      <c r="C14" s="374" t="s">
        <v>347</v>
      </c>
      <c r="D14" s="374"/>
      <c r="E14" s="365" t="s">
        <v>400</v>
      </c>
      <c r="L14" s="374"/>
    </row>
    <row r="15" spans="1:20" s="2" customFormat="1" ht="5.0999999999999996" customHeight="1" x14ac:dyDescent="0.25">
      <c r="A15" s="374"/>
      <c r="B15" s="374"/>
      <c r="C15" s="374"/>
      <c r="D15" s="374"/>
      <c r="L15" s="374"/>
      <c r="P15" s="2">
        <v>39</v>
      </c>
      <c r="Q15" s="2">
        <v>0</v>
      </c>
      <c r="R15" s="39">
        <v>0.6</v>
      </c>
    </row>
    <row r="16" spans="1:20" s="2" customFormat="1" ht="15" x14ac:dyDescent="0.25">
      <c r="A16" s="374"/>
      <c r="B16" s="374"/>
      <c r="C16" s="374" t="s">
        <v>348</v>
      </c>
      <c r="D16" s="374"/>
      <c r="E16" s="366">
        <v>1</v>
      </c>
      <c r="L16" s="392" t="s">
        <v>591</v>
      </c>
      <c r="M16" s="7"/>
    </row>
    <row r="17" spans="1:18" s="2" customFormat="1" ht="5.0999999999999996" customHeight="1" x14ac:dyDescent="0.25">
      <c r="A17" s="374"/>
      <c r="B17" s="374"/>
      <c r="C17" s="374"/>
      <c r="D17" s="374"/>
      <c r="L17" s="374"/>
      <c r="P17" s="2">
        <v>39</v>
      </c>
      <c r="Q17" s="2">
        <v>0</v>
      </c>
      <c r="R17" s="39">
        <v>0.6</v>
      </c>
    </row>
    <row r="18" spans="1:18" s="2" customFormat="1" ht="15" x14ac:dyDescent="0.25">
      <c r="A18" s="374"/>
      <c r="B18" s="374"/>
      <c r="C18" s="374" t="s">
        <v>14</v>
      </c>
      <c r="D18" s="374"/>
      <c r="E18" s="367">
        <f ca="1">+TODAY()</f>
        <v>46258</v>
      </c>
      <c r="L18" s="392" t="s">
        <v>592</v>
      </c>
    </row>
    <row r="19" spans="1:18" s="2" customFormat="1" ht="5.0999999999999996" customHeight="1" x14ac:dyDescent="0.25">
      <c r="A19" s="374"/>
      <c r="B19" s="374"/>
      <c r="C19" s="374"/>
      <c r="D19" s="374"/>
      <c r="L19" s="374"/>
    </row>
    <row r="20" spans="1:18" s="2" customFormat="1" ht="15" x14ac:dyDescent="0.25">
      <c r="A20" s="374"/>
      <c r="B20" s="374"/>
      <c r="C20" s="374"/>
      <c r="D20" s="374"/>
      <c r="L20" s="374"/>
    </row>
    <row r="21" spans="1:18" s="3" customFormat="1" ht="27" thickBot="1" x14ac:dyDescent="0.45">
      <c r="A21" s="375" t="s">
        <v>349</v>
      </c>
      <c r="B21" s="375"/>
      <c r="C21" s="375"/>
      <c r="D21" s="375"/>
      <c r="I21" s="3" t="s">
        <v>28</v>
      </c>
      <c r="L21" s="375"/>
    </row>
    <row r="22" spans="1:18" s="2" customFormat="1" ht="15" x14ac:dyDescent="0.25">
      <c r="A22" s="374"/>
      <c r="B22" s="374"/>
      <c r="C22" s="374"/>
      <c r="D22" s="374"/>
      <c r="L22" s="374"/>
    </row>
    <row r="23" spans="1:18" s="2" customFormat="1" ht="22.5" x14ac:dyDescent="0.35">
      <c r="A23" s="374"/>
      <c r="B23" s="374"/>
      <c r="C23" s="374"/>
      <c r="D23" s="374"/>
      <c r="L23" s="387" t="s">
        <v>413</v>
      </c>
      <c r="M23" s="5"/>
    </row>
    <row r="24" spans="1:18" s="2" customFormat="1" ht="15" x14ac:dyDescent="0.25">
      <c r="A24" s="374"/>
      <c r="B24" s="374"/>
      <c r="C24" s="374" t="s">
        <v>355</v>
      </c>
      <c r="D24" s="388" t="s">
        <v>350</v>
      </c>
      <c r="E24" s="368">
        <v>100</v>
      </c>
      <c r="L24" s="392" t="s">
        <v>593</v>
      </c>
      <c r="M24" s="7"/>
      <c r="P24" s="2">
        <v>100</v>
      </c>
      <c r="Q24" s="2">
        <v>80</v>
      </c>
      <c r="R24" s="39">
        <v>1</v>
      </c>
    </row>
    <row r="25" spans="1:18" s="2" customFormat="1" ht="5.0999999999999996" customHeight="1" x14ac:dyDescent="0.25">
      <c r="A25" s="374"/>
      <c r="B25" s="374"/>
      <c r="C25" s="374"/>
      <c r="D25" s="374"/>
      <c r="L25" s="374"/>
      <c r="P25" s="2">
        <v>39</v>
      </c>
      <c r="Q25" s="2">
        <v>0</v>
      </c>
      <c r="R25" s="39">
        <v>0.6</v>
      </c>
    </row>
    <row r="26" spans="1:18" s="2" customFormat="1" ht="15" x14ac:dyDescent="0.25">
      <c r="A26" s="374"/>
      <c r="B26" s="374"/>
      <c r="C26" s="374" t="s">
        <v>351</v>
      </c>
      <c r="D26" s="388" t="s">
        <v>276</v>
      </c>
      <c r="E26" s="667">
        <f>1/E27</f>
        <v>13.75</v>
      </c>
      <c r="F26" s="374"/>
      <c r="G26" s="374"/>
      <c r="H26" s="374"/>
      <c r="L26" s="392" t="s">
        <v>649</v>
      </c>
      <c r="M26" s="7"/>
      <c r="P26" s="2">
        <v>79</v>
      </c>
      <c r="Q26" s="2">
        <v>60</v>
      </c>
      <c r="R26" s="39">
        <v>0.9</v>
      </c>
    </row>
    <row r="27" spans="1:18" s="2" customFormat="1" ht="15" x14ac:dyDescent="0.25">
      <c r="A27" s="374"/>
      <c r="B27" s="374"/>
      <c r="C27" s="374" t="s">
        <v>353</v>
      </c>
      <c r="D27" s="388" t="s">
        <v>41</v>
      </c>
      <c r="E27" s="668">
        <v>7.2727272727272724E-2</v>
      </c>
      <c r="F27" s="374"/>
      <c r="G27" s="374"/>
      <c r="H27" s="374"/>
      <c r="L27" s="374"/>
      <c r="P27" s="2">
        <v>59</v>
      </c>
      <c r="Q27" s="2">
        <v>40</v>
      </c>
      <c r="R27" s="39">
        <v>0.75</v>
      </c>
    </row>
    <row r="28" spans="1:18" s="2" customFormat="1" ht="5.0999999999999996" customHeight="1" x14ac:dyDescent="0.25">
      <c r="A28" s="374"/>
      <c r="B28" s="374"/>
      <c r="C28" s="374"/>
      <c r="D28" s="374"/>
      <c r="E28" s="374"/>
      <c r="F28" s="374"/>
      <c r="G28" s="374"/>
      <c r="H28" s="374"/>
      <c r="L28" s="374"/>
      <c r="P28" s="2">
        <v>39</v>
      </c>
      <c r="Q28" s="2">
        <v>0</v>
      </c>
      <c r="R28" s="39">
        <v>0.6</v>
      </c>
    </row>
    <row r="29" spans="1:18" s="2" customFormat="1" ht="15" x14ac:dyDescent="0.25">
      <c r="A29" s="374"/>
      <c r="B29" s="374"/>
      <c r="C29" s="374" t="s">
        <v>352</v>
      </c>
      <c r="D29" s="388" t="s">
        <v>276</v>
      </c>
      <c r="E29" s="667">
        <f>+IF(AND($E$24&gt;=Q24,$E$24&lt;=P24),R24,IF(AND($E$24&gt;=Q26,$E$24&lt;=P26),R26,IF(AND($E$24&gt;=Q27,$E$24&lt;=P27),R27,IF(AND($E$24&gt;=Q28,$E$24&lt;=P28),R28,""))))*E26</f>
        <v>13.75</v>
      </c>
      <c r="F29" s="374"/>
      <c r="G29" s="374"/>
      <c r="H29" s="374"/>
      <c r="L29" s="374"/>
    </row>
    <row r="30" spans="1:18" s="2" customFormat="1" ht="15" x14ac:dyDescent="0.25">
      <c r="A30" s="374"/>
      <c r="B30" s="374"/>
      <c r="C30" s="374" t="s">
        <v>354</v>
      </c>
      <c r="D30" s="388" t="s">
        <v>41</v>
      </c>
      <c r="E30" s="668">
        <f>1/E29</f>
        <v>7.2727272727272724E-2</v>
      </c>
      <c r="F30" s="374"/>
      <c r="G30" s="374"/>
      <c r="H30" s="374"/>
    </row>
    <row r="31" spans="1:18" s="2" customFormat="1" ht="5.0999999999999996" customHeight="1" x14ac:dyDescent="0.25">
      <c r="A31" s="374"/>
      <c r="B31" s="374"/>
      <c r="C31" s="374"/>
      <c r="D31" s="374"/>
      <c r="E31" s="374"/>
      <c r="F31" s="374"/>
      <c r="G31" s="374"/>
      <c r="H31" s="374"/>
    </row>
    <row r="32" spans="1:18" s="2" customFormat="1" ht="15" customHeight="1" x14ac:dyDescent="0.25">
      <c r="A32" s="374"/>
      <c r="B32" s="374"/>
      <c r="C32" s="374"/>
      <c r="D32" s="388"/>
      <c r="E32" s="374"/>
      <c r="F32" s="374"/>
      <c r="G32" s="374"/>
      <c r="H32" s="374"/>
    </row>
    <row r="33" spans="1:13" s="3" customFormat="1" ht="27" thickBot="1" x14ac:dyDescent="0.45">
      <c r="A33" s="375" t="s">
        <v>647</v>
      </c>
      <c r="B33" s="375"/>
      <c r="C33" s="375"/>
      <c r="D33" s="375"/>
      <c r="I33" s="3" t="s">
        <v>28</v>
      </c>
    </row>
    <row r="34" spans="1:13" s="2" customFormat="1" ht="15" customHeight="1" x14ac:dyDescent="0.25">
      <c r="D34" s="6"/>
    </row>
    <row r="35" spans="1:13" ht="15" customHeight="1" x14ac:dyDescent="0.25">
      <c r="D35" s="388"/>
    </row>
    <row r="36" spans="1:13" ht="213.75" customHeight="1" x14ac:dyDescent="0.25">
      <c r="B36" s="559" t="s">
        <v>648</v>
      </c>
      <c r="C36" s="559"/>
      <c r="D36" s="559"/>
      <c r="E36" s="559"/>
      <c r="F36" s="559"/>
      <c r="G36" s="559"/>
      <c r="H36" s="559"/>
      <c r="I36" s="559"/>
      <c r="J36" s="559"/>
      <c r="K36" s="559"/>
      <c r="L36" s="559"/>
      <c r="M36" s="559"/>
    </row>
    <row r="37" spans="1:13" ht="15" x14ac:dyDescent="0.25">
      <c r="B37" s="560"/>
      <c r="C37" s="560"/>
      <c r="D37" s="560"/>
      <c r="E37" s="560"/>
      <c r="F37" s="560"/>
      <c r="G37" s="560"/>
      <c r="H37" s="560"/>
      <c r="I37" s="560"/>
      <c r="J37" s="560"/>
      <c r="K37" s="560"/>
      <c r="L37" s="560"/>
      <c r="M37" s="560"/>
    </row>
    <row r="38" spans="1:13" ht="15" x14ac:dyDescent="0.25">
      <c r="C38" s="374" t="s">
        <v>28</v>
      </c>
    </row>
    <row r="39" spans="1:13" s="561" customFormat="1" ht="15" customHeight="1" x14ac:dyDescent="0.25">
      <c r="A39" s="561" t="s">
        <v>410</v>
      </c>
    </row>
  </sheetData>
  <sheetProtection algorithmName="SHA-512" hashValue="+JO1W0P4cNXpMjJCUGulMAhx69U108hP6NaNaZRAc/ATQXrzkiTjcnWm/TyvsX8eM30Mg1+yObbqDEm/d1NoWg==" saltValue="FPOatnhOnZzE4nYniTlY+Q==" spinCount="100000" sheet="1" objects="1" scenarios="1"/>
  <mergeCells count="1">
    <mergeCell ref="B36:M36"/>
  </mergeCells>
  <dataValidations count="1">
    <dataValidation type="list" allowBlank="1" showInputMessage="1" showErrorMessage="1" sqref="E14" xr:uid="{583315EA-C433-4869-BEDA-E50DFA6C45A2}">
      <formula1>"€,Tsd. €,Mio. €"</formula1>
    </dataValidation>
  </dataValidations>
  <pageMargins left="0.70866141732283472" right="0.70866141732283472" top="0.78740157480314965" bottom="0.78740157480314965" header="0.31496062992125984" footer="0.31496062992125984"/>
  <pageSetup paperSize="9" scale="56" orientation="landscape" r:id="rId1"/>
  <headerFooter>
    <oddFooter>&amp;LVersion 1.0 | Stand &amp;D&amp;C&amp;"-,Fett"Streng Vertraulich. &amp;"-,Standard"
&amp;8Ausschließlich zu Informationszwecken. Es wird keine Gewähr oder Haftung für Vollständigkeit, Richtigkeit oder aus der Nutzung des Modells abgeleitete Entscheidungen übernommen. &amp;R&amp;P</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ABCA7B0-CC35-4C1B-ADE1-FE249CFF6AF6}">
          <x14:formula1>
            <xm:f>Technical!$B$6:$B$25</xm:f>
          </x14:formula1>
          <xm:sqref>E10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ED040-69A3-420E-BFF9-86CBCAC0E0CA}">
  <sheetPr>
    <tabColor theme="0"/>
    <pageSetUpPr fitToPage="1"/>
  </sheetPr>
  <dimension ref="A1:T123"/>
  <sheetViews>
    <sheetView showGridLines="0" zoomScaleNormal="100" workbookViewId="0">
      <pane ySplit="23" topLeftCell="A24" activePane="bottomLeft" state="frozen"/>
      <selection pane="bottomLeft"/>
    </sheetView>
  </sheetViews>
  <sheetFormatPr baseColWidth="10" defaultColWidth="0" defaultRowHeight="0" customHeight="1" zeroHeight="1" x14ac:dyDescent="0.25"/>
  <cols>
    <col min="1" max="1" width="2.7109375" style="2" customWidth="1"/>
    <col min="2" max="2" width="3.7109375" style="2" customWidth="1"/>
    <col min="3" max="3" width="100.7109375" style="374" customWidth="1"/>
    <col min="4" max="4" width="10.7109375" style="374" customWidth="1"/>
    <col min="5" max="5" width="25.7109375" style="2" customWidth="1"/>
    <col min="6" max="6" width="5.7109375" style="2" customWidth="1"/>
    <col min="7" max="11" width="13.7109375" style="2" customWidth="1"/>
    <col min="12" max="12" width="100.7109375" style="374" customWidth="1"/>
    <col min="13" max="14" width="2.28515625" style="374" customWidth="1"/>
    <col min="15" max="15" width="13.7109375" style="374" customWidth="1"/>
    <col min="16" max="20" width="12.7109375" style="2" hidden="1" customWidth="1"/>
    <col min="21" max="16384" width="11.42578125" style="2" hidden="1"/>
  </cols>
  <sheetData>
    <row r="1" spans="1:18" s="373" customFormat="1" ht="23.25" x14ac:dyDescent="0.35">
      <c r="A1" s="373" t="str">
        <f>+'1. Annahmen'!A1</f>
        <v>Vereinfachtes Ertragswertverfahren nach §§ 199 BewG für Beispiel AG</v>
      </c>
    </row>
    <row r="2" spans="1:18" s="374" customFormat="1" ht="5.0999999999999996" customHeight="1" x14ac:dyDescent="0.25"/>
    <row r="3" spans="1:18" s="374" customFormat="1" ht="15" x14ac:dyDescent="0.25"/>
    <row r="4" spans="1:18" s="375" customFormat="1" ht="27" thickBot="1" x14ac:dyDescent="0.45">
      <c r="A4" s="375" t="str">
        <f>+"Zwischenergebnis der Unternehmenswertberechnung nach §§ 199 BewG für "&amp;'1. Annahmen'!E9</f>
        <v>Zwischenergebnis der Unternehmenswertberechnung nach §§ 199 BewG für Beispiel AG</v>
      </c>
      <c r="D4" s="583"/>
    </row>
    <row r="5" spans="1:18" s="374" customFormat="1" ht="15" x14ac:dyDescent="0.25"/>
    <row r="6" spans="1:18" s="374" customFormat="1" ht="23.25" x14ac:dyDescent="0.35">
      <c r="B6" s="587" t="s">
        <v>652</v>
      </c>
      <c r="C6" s="636" t="str">
        <f>+"Wert Ihres Anteils gemäß § 199 BewG [in €]"</f>
        <v>Wert Ihres Anteils gemäß § 199 BewG [in €]</v>
      </c>
      <c r="D6" s="599"/>
      <c r="G6" s="586"/>
    </row>
    <row r="7" spans="1:18" s="374" customFormat="1" ht="69" customHeight="1" x14ac:dyDescent="1">
      <c r="B7" s="587"/>
      <c r="C7" s="637">
        <f>+'2. Vereinfachtes_EWV'!J121*INDEX(Technical!B115:C117,MATCH('1. Annahmen'!E14,Technical!B115:B117,0),2)</f>
        <v>1334666.6666666667</v>
      </c>
      <c r="D7" s="599"/>
    </row>
    <row r="8" spans="1:18" s="374" customFormat="1" ht="5.0999999999999996" customHeight="1" x14ac:dyDescent="0.25">
      <c r="B8" s="587"/>
      <c r="C8" s="638"/>
      <c r="D8" s="599"/>
    </row>
    <row r="9" spans="1:18" s="374" customFormat="1" ht="26.25" customHeight="1" x14ac:dyDescent="0.35">
      <c r="B9" s="587"/>
      <c r="C9" s="639">
        <f ca="1">+'1. Annahmen'!E18</f>
        <v>46258</v>
      </c>
      <c r="D9" s="599"/>
    </row>
    <row r="10" spans="1:18" s="374" customFormat="1" ht="26.25" customHeight="1" x14ac:dyDescent="0.35">
      <c r="B10" s="587"/>
      <c r="C10" s="598" t="s">
        <v>596</v>
      </c>
      <c r="D10" s="599"/>
    </row>
    <row r="11" spans="1:18" s="374" customFormat="1" ht="26.25" customHeight="1" x14ac:dyDescent="0.35">
      <c r="B11" s="587"/>
      <c r="C11" s="600">
        <f>+'3. Management Summary'!C11</f>
        <v>1681469.8162729663</v>
      </c>
      <c r="D11" s="599"/>
    </row>
    <row r="12" spans="1:18" s="374" customFormat="1" ht="26.25" customHeight="1" x14ac:dyDescent="0.35">
      <c r="B12" s="587"/>
      <c r="C12" s="598">
        <f ca="1">+C9</f>
        <v>46258</v>
      </c>
      <c r="D12" s="599"/>
    </row>
    <row r="13" spans="1:18" s="374" customFormat="1" ht="57.95" customHeight="1" x14ac:dyDescent="0.25">
      <c r="B13" s="587"/>
      <c r="C13" s="601" t="s">
        <v>627</v>
      </c>
      <c r="D13" s="599"/>
    </row>
    <row r="14" spans="1:18" s="374" customFormat="1" ht="5.0999999999999996" customHeight="1" x14ac:dyDescent="0.35">
      <c r="B14" s="584"/>
      <c r="C14" s="606"/>
      <c r="D14" s="599"/>
      <c r="E14" s="597"/>
      <c r="F14" s="607"/>
      <c r="G14" s="607"/>
      <c r="H14" s="607"/>
      <c r="I14" s="607"/>
      <c r="J14" s="607"/>
      <c r="K14" s="607"/>
      <c r="L14" s="607"/>
      <c r="M14" s="608"/>
      <c r="N14" s="608"/>
      <c r="O14" s="608"/>
      <c r="P14" s="608"/>
      <c r="Q14" s="608"/>
      <c r="R14" s="608"/>
    </row>
    <row r="15" spans="1:18" s="374" customFormat="1" ht="5.0999999999999996" customHeight="1" x14ac:dyDescent="0.4">
      <c r="B15" s="584"/>
      <c r="C15" s="609"/>
      <c r="D15" s="610"/>
      <c r="E15" s="611"/>
      <c r="F15" s="611"/>
      <c r="G15" s="612"/>
      <c r="H15" s="611"/>
      <c r="I15" s="383"/>
      <c r="J15" s="383"/>
      <c r="K15" s="383"/>
      <c r="L15" s="383"/>
      <c r="M15" s="383"/>
      <c r="N15" s="383"/>
      <c r="O15" s="383"/>
    </row>
    <row r="16" spans="1:18" s="374" customFormat="1" ht="5.0999999999999996" customHeight="1" x14ac:dyDescent="0.4">
      <c r="B16" s="584"/>
      <c r="C16" s="609"/>
      <c r="D16" s="610"/>
      <c r="E16" s="611"/>
      <c r="F16" s="611"/>
      <c r="G16" s="612"/>
      <c r="H16" s="611"/>
      <c r="I16" s="383"/>
      <c r="J16" s="383"/>
      <c r="K16" s="383"/>
      <c r="L16" s="383"/>
      <c r="M16" s="383"/>
      <c r="N16" s="383"/>
      <c r="O16" s="383"/>
    </row>
    <row r="17" spans="1:18" s="374" customFormat="1" ht="15" x14ac:dyDescent="0.25">
      <c r="D17" s="582"/>
      <c r="G17" s="586"/>
    </row>
    <row r="18" spans="1:18" s="374" customFormat="1" ht="15" x14ac:dyDescent="0.25">
      <c r="D18" s="582"/>
    </row>
    <row r="19" spans="1:18" s="375" customFormat="1" ht="27" thickBot="1" x14ac:dyDescent="0.45">
      <c r="A19" s="375" t="s">
        <v>356</v>
      </c>
      <c r="H19" s="375" t="s">
        <v>28</v>
      </c>
    </row>
    <row r="20" spans="1:18" s="374" customFormat="1" ht="15" x14ac:dyDescent="0.25"/>
    <row r="21" spans="1:18" s="374" customFormat="1" ht="22.5" x14ac:dyDescent="0.35">
      <c r="C21" s="387"/>
      <c r="L21" s="630" t="s">
        <v>413</v>
      </c>
    </row>
    <row r="22" spans="1:18" s="374" customFormat="1" ht="15" x14ac:dyDescent="0.25">
      <c r="C22" s="640" t="s">
        <v>357</v>
      </c>
      <c r="D22" s="640"/>
      <c r="E22" s="640"/>
      <c r="F22" s="640"/>
      <c r="G22" s="412"/>
      <c r="H22" s="412"/>
      <c r="I22" s="412"/>
      <c r="J22" s="641" t="s">
        <v>63</v>
      </c>
      <c r="L22" s="631"/>
      <c r="O22" s="489"/>
      <c r="P22" s="489"/>
      <c r="Q22" s="489"/>
      <c r="R22" s="489"/>
    </row>
    <row r="23" spans="1:18" s="374" customFormat="1" ht="15" x14ac:dyDescent="0.25">
      <c r="C23" s="640" t="s">
        <v>358</v>
      </c>
      <c r="D23" s="640"/>
      <c r="E23" s="640"/>
      <c r="F23" s="640"/>
      <c r="G23" s="642">
        <f>+H23-1</f>
        <v>2024</v>
      </c>
      <c r="H23" s="642">
        <f>+I23-1</f>
        <v>2025</v>
      </c>
      <c r="I23" s="642">
        <f>+'1. Annahmen'!E12</f>
        <v>2026</v>
      </c>
      <c r="J23" s="643" t="str">
        <f>+I23+1&amp;" ff."</f>
        <v>2027 ff.</v>
      </c>
      <c r="L23" s="631"/>
    </row>
    <row r="24" spans="1:18" ht="15" x14ac:dyDescent="0.25">
      <c r="L24" s="632"/>
    </row>
    <row r="25" spans="1:18" ht="22.5" x14ac:dyDescent="0.35">
      <c r="B25" s="5" t="s">
        <v>636</v>
      </c>
      <c r="C25" s="387" t="s">
        <v>53</v>
      </c>
      <c r="L25" s="632"/>
    </row>
    <row r="26" spans="1:18" ht="15" x14ac:dyDescent="0.25">
      <c r="L26" s="632"/>
    </row>
    <row r="27" spans="1:18" ht="15" x14ac:dyDescent="0.25">
      <c r="C27" s="427" t="s">
        <v>359</v>
      </c>
      <c r="D27" s="426" t="str">
        <f>+"in "&amp;'1. Annahmen'!$E$14</f>
        <v>in Tsd. €</v>
      </c>
      <c r="E27" s="17"/>
      <c r="F27" s="87"/>
      <c r="G27" s="368">
        <v>139</v>
      </c>
      <c r="H27" s="368">
        <v>188</v>
      </c>
      <c r="I27" s="368">
        <v>194</v>
      </c>
      <c r="J27" s="190"/>
      <c r="L27" s="632"/>
    </row>
    <row r="28" spans="1:18" ht="15" x14ac:dyDescent="0.25">
      <c r="C28" s="374" t="s">
        <v>108</v>
      </c>
      <c r="D28" s="388" t="str">
        <f>+"in "&amp;'1. Annahmen'!$E$14</f>
        <v>in Tsd. €</v>
      </c>
      <c r="G28" s="369">
        <v>-30</v>
      </c>
      <c r="H28" s="369">
        <v>-35</v>
      </c>
      <c r="I28" s="369">
        <v>-40</v>
      </c>
      <c r="J28" s="190"/>
      <c r="L28" s="633"/>
    </row>
    <row r="29" spans="1:18" ht="15" x14ac:dyDescent="0.25">
      <c r="C29" s="644" t="s">
        <v>360</v>
      </c>
      <c r="D29" s="390" t="str">
        <f>+"in "&amp;'1. Annahmen'!$E$14</f>
        <v>in Tsd. €</v>
      </c>
      <c r="E29" s="120"/>
      <c r="F29" s="120"/>
      <c r="G29" s="651">
        <f>+SUM(G27:G28)</f>
        <v>109</v>
      </c>
      <c r="H29" s="651">
        <f>+SUM(H27:H28)</f>
        <v>153</v>
      </c>
      <c r="I29" s="651">
        <f>+SUM(I27:I28)</f>
        <v>154</v>
      </c>
      <c r="J29" s="190"/>
      <c r="L29" s="632"/>
    </row>
    <row r="30" spans="1:18" ht="15" x14ac:dyDescent="0.25">
      <c r="J30" s="190"/>
      <c r="L30" s="632"/>
    </row>
    <row r="31" spans="1:18" ht="30" x14ac:dyDescent="0.25">
      <c r="A31" s="298"/>
      <c r="B31" s="299" t="s">
        <v>637</v>
      </c>
      <c r="C31" s="645" t="s">
        <v>361</v>
      </c>
      <c r="G31" s="61"/>
      <c r="H31" s="61"/>
      <c r="J31" s="190"/>
      <c r="L31" s="634" t="s">
        <v>602</v>
      </c>
    </row>
    <row r="32" spans="1:18" ht="5.0999999999999996" customHeight="1" x14ac:dyDescent="0.25">
      <c r="D32" s="420"/>
      <c r="G32" s="291"/>
      <c r="H32" s="291"/>
      <c r="I32" s="292"/>
      <c r="J32" s="290"/>
      <c r="L32" s="632"/>
    </row>
    <row r="33" spans="2:16" ht="15" x14ac:dyDescent="0.25">
      <c r="C33" s="489" t="s">
        <v>620</v>
      </c>
      <c r="E33" s="370" t="s">
        <v>6</v>
      </c>
      <c r="G33" s="61"/>
      <c r="H33" s="61"/>
      <c r="J33" s="190"/>
      <c r="L33" s="634"/>
      <c r="P33" s="297">
        <f>+IF(E33="Summe eingeben",1,0)</f>
        <v>0</v>
      </c>
    </row>
    <row r="34" spans="2:16" ht="5.0999999999999996" customHeight="1" x14ac:dyDescent="0.25">
      <c r="G34" s="291"/>
      <c r="H34" s="291"/>
      <c r="I34" s="291"/>
      <c r="J34" s="290"/>
      <c r="L34" s="632"/>
    </row>
    <row r="35" spans="2:16" ht="15" x14ac:dyDescent="0.25">
      <c r="C35" s="374" t="s">
        <v>621</v>
      </c>
      <c r="D35" s="420" t="str">
        <f>+"in "&amp;'1. Annahmen'!$E$14</f>
        <v>in Tsd. €</v>
      </c>
      <c r="G35" s="371">
        <v>10</v>
      </c>
      <c r="H35" s="371">
        <v>20</v>
      </c>
      <c r="I35" s="371">
        <v>30</v>
      </c>
      <c r="J35" s="190"/>
      <c r="L35" s="634" t="s">
        <v>623</v>
      </c>
    </row>
    <row r="36" spans="2:16" ht="5.0999999999999996" customHeight="1" x14ac:dyDescent="0.25">
      <c r="D36" s="420"/>
      <c r="G36" s="291"/>
      <c r="H36" s="291"/>
      <c r="I36" s="292"/>
      <c r="J36" s="290"/>
      <c r="L36" s="632"/>
    </row>
    <row r="37" spans="2:16" ht="15" x14ac:dyDescent="0.25">
      <c r="B37" s="294" t="s">
        <v>362</v>
      </c>
      <c r="C37" s="646" t="s">
        <v>605</v>
      </c>
      <c r="D37" s="420" t="str">
        <f>+"in "&amp;'1. Annahmen'!$E$14</f>
        <v>in Tsd. €</v>
      </c>
      <c r="G37" s="371">
        <v>10</v>
      </c>
      <c r="H37" s="371">
        <v>20</v>
      </c>
      <c r="I37" s="371">
        <v>30</v>
      </c>
      <c r="J37" s="290"/>
      <c r="L37" s="632"/>
    </row>
    <row r="38" spans="2:16" ht="5.0999999999999996" customHeight="1" x14ac:dyDescent="0.25">
      <c r="D38" s="420"/>
      <c r="G38" s="291"/>
      <c r="H38" s="291"/>
      <c r="I38" s="292"/>
      <c r="J38" s="290"/>
      <c r="L38" s="632"/>
    </row>
    <row r="39" spans="2:16" ht="15" customHeight="1" x14ac:dyDescent="0.25">
      <c r="B39" s="2" t="s">
        <v>363</v>
      </c>
      <c r="C39" s="374" t="s">
        <v>603</v>
      </c>
      <c r="D39" s="420" t="str">
        <f>+"in "&amp;'1. Annahmen'!$E$14</f>
        <v>in Tsd. €</v>
      </c>
      <c r="G39" s="371">
        <v>2</v>
      </c>
      <c r="H39" s="371">
        <v>3</v>
      </c>
      <c r="I39" s="371">
        <v>4</v>
      </c>
      <c r="J39" s="290"/>
      <c r="L39" s="632"/>
    </row>
    <row r="40" spans="2:16" ht="5.0999999999999996" customHeight="1" x14ac:dyDescent="0.25">
      <c r="D40" s="420"/>
      <c r="G40" s="291"/>
      <c r="H40" s="291"/>
      <c r="I40" s="292"/>
      <c r="J40" s="290"/>
      <c r="L40" s="632"/>
    </row>
    <row r="41" spans="2:16" ht="15" customHeight="1" x14ac:dyDescent="0.25">
      <c r="B41" s="2" t="s">
        <v>364</v>
      </c>
      <c r="C41" s="374" t="s">
        <v>604</v>
      </c>
      <c r="D41" s="420" t="str">
        <f>+"in "&amp;'1. Annahmen'!$E$14</f>
        <v>in Tsd. €</v>
      </c>
      <c r="G41" s="371">
        <v>0</v>
      </c>
      <c r="H41" s="371">
        <v>0</v>
      </c>
      <c r="I41" s="371">
        <v>0</v>
      </c>
      <c r="J41" s="290"/>
      <c r="L41" s="632"/>
    </row>
    <row r="42" spans="2:16" ht="5.0999999999999996" customHeight="1" x14ac:dyDescent="0.25">
      <c r="D42" s="420"/>
      <c r="G42" s="291"/>
      <c r="H42" s="291"/>
      <c r="I42" s="292"/>
      <c r="J42" s="290"/>
      <c r="L42" s="632"/>
    </row>
    <row r="43" spans="2:16" ht="15" customHeight="1" x14ac:dyDescent="0.25">
      <c r="B43" s="2" t="s">
        <v>365</v>
      </c>
      <c r="C43" s="374" t="s">
        <v>613</v>
      </c>
      <c r="D43" s="420" t="str">
        <f>+"in "&amp;'1. Annahmen'!$E$14</f>
        <v>in Tsd. €</v>
      </c>
      <c r="G43" s="371">
        <v>0</v>
      </c>
      <c r="H43" s="371">
        <v>0</v>
      </c>
      <c r="I43" s="371">
        <v>0</v>
      </c>
      <c r="J43" s="290"/>
      <c r="L43" s="634" t="s">
        <v>612</v>
      </c>
    </row>
    <row r="44" spans="2:16" ht="5.0999999999999996" customHeight="1" x14ac:dyDescent="0.25">
      <c r="D44" s="420"/>
      <c r="H44" s="291"/>
      <c r="I44" s="292"/>
      <c r="J44" s="290"/>
      <c r="L44" s="632"/>
    </row>
    <row r="45" spans="2:16" ht="15" customHeight="1" x14ac:dyDescent="0.25">
      <c r="B45" s="2" t="s">
        <v>366</v>
      </c>
      <c r="C45" s="374" t="s">
        <v>367</v>
      </c>
      <c r="D45" s="420" t="str">
        <f>+"in "&amp;'1. Annahmen'!$E$14</f>
        <v>in Tsd. €</v>
      </c>
      <c r="G45" s="371">
        <v>626</v>
      </c>
      <c r="H45" s="371">
        <v>699.9</v>
      </c>
      <c r="I45" s="371">
        <v>728.1</v>
      </c>
      <c r="J45" s="290"/>
      <c r="L45" s="632"/>
    </row>
    <row r="46" spans="2:16" ht="5.0999999999999996" customHeight="1" x14ac:dyDescent="0.25">
      <c r="D46" s="420"/>
      <c r="G46" s="291"/>
      <c r="H46" s="291"/>
      <c r="I46" s="292"/>
      <c r="J46" s="290"/>
      <c r="L46" s="632"/>
    </row>
    <row r="47" spans="2:16" ht="15" customHeight="1" x14ac:dyDescent="0.25">
      <c r="B47" s="2" t="s">
        <v>368</v>
      </c>
      <c r="C47" s="374" t="s">
        <v>369</v>
      </c>
      <c r="D47" s="420" t="str">
        <f>+"in "&amp;'1. Annahmen'!$E$14</f>
        <v>in Tsd. €</v>
      </c>
      <c r="G47" s="371">
        <v>10</v>
      </c>
      <c r="H47" s="371">
        <v>10</v>
      </c>
      <c r="I47" s="371">
        <v>10</v>
      </c>
      <c r="J47" s="290"/>
      <c r="L47" s="634" t="s">
        <v>611</v>
      </c>
    </row>
    <row r="48" spans="2:16" ht="15" customHeight="1" x14ac:dyDescent="0.25">
      <c r="B48" s="120" t="s">
        <v>370</v>
      </c>
      <c r="C48" s="644"/>
      <c r="D48" s="390" t="str">
        <f>+"in "&amp;'1. Annahmen'!$E$14</f>
        <v>in Tsd. €</v>
      </c>
      <c r="E48" s="120"/>
      <c r="F48" s="120"/>
      <c r="G48" s="652">
        <f>IF($E$33="bitte auswählen",0,G35*$P$33+SUM(G37,G39,G41,G43,G45,G47)*(1-$P$33))</f>
        <v>0</v>
      </c>
      <c r="H48" s="652">
        <f t="shared" ref="H48:I48" si="0">IF($E$33="bitte auswählen",0,H35*$P$33+SUM(H37,H39,H41,H43,H45,H47)*(1-$P$33))</f>
        <v>0</v>
      </c>
      <c r="I48" s="652">
        <f t="shared" si="0"/>
        <v>0</v>
      </c>
      <c r="J48" s="290"/>
      <c r="L48" s="632"/>
    </row>
    <row r="49" spans="2:16" ht="15" customHeight="1" x14ac:dyDescent="0.25">
      <c r="D49" s="420"/>
      <c r="G49" s="291"/>
      <c r="H49" s="291"/>
      <c r="I49" s="292"/>
      <c r="J49" s="290"/>
      <c r="L49" s="632"/>
    </row>
    <row r="50" spans="2:16" ht="30" x14ac:dyDescent="0.25">
      <c r="B50" s="299" t="s">
        <v>638</v>
      </c>
      <c r="C50" s="645" t="s">
        <v>371</v>
      </c>
      <c r="E50" s="61"/>
      <c r="G50" s="61"/>
      <c r="H50" s="61"/>
      <c r="J50" s="190"/>
      <c r="L50" s="634" t="s">
        <v>606</v>
      </c>
    </row>
    <row r="51" spans="2:16" ht="5.0999999999999996" customHeight="1" x14ac:dyDescent="0.25">
      <c r="G51" s="291"/>
      <c r="H51" s="291"/>
      <c r="I51" s="292"/>
      <c r="J51" s="290"/>
      <c r="L51" s="632"/>
    </row>
    <row r="52" spans="2:16" ht="15" x14ac:dyDescent="0.25">
      <c r="C52" s="489" t="s">
        <v>622</v>
      </c>
      <c r="E52" s="370" t="s">
        <v>6</v>
      </c>
      <c r="G52" s="61"/>
      <c r="H52" s="61"/>
      <c r="J52" s="190"/>
      <c r="L52" s="634"/>
      <c r="P52" s="297">
        <f>+IF(E52="Summe eingeben",1,0)</f>
        <v>0</v>
      </c>
    </row>
    <row r="53" spans="2:16" ht="5.0999999999999996" customHeight="1" x14ac:dyDescent="0.25">
      <c r="G53" s="291"/>
      <c r="H53" s="291"/>
      <c r="I53" s="291"/>
      <c r="J53" s="290"/>
      <c r="L53" s="632"/>
    </row>
    <row r="54" spans="2:16" ht="15" x14ac:dyDescent="0.25">
      <c r="C54" s="374" t="s">
        <v>621</v>
      </c>
      <c r="D54" s="420" t="str">
        <f>+"in "&amp;'1. Annahmen'!$E$14</f>
        <v>in Tsd. €</v>
      </c>
      <c r="G54" s="371">
        <v>10</v>
      </c>
      <c r="H54" s="371">
        <v>20</v>
      </c>
      <c r="I54" s="371">
        <v>30</v>
      </c>
      <c r="J54" s="190"/>
      <c r="L54" s="634"/>
    </row>
    <row r="55" spans="2:16" ht="5.0999999999999996" customHeight="1" x14ac:dyDescent="0.25">
      <c r="G55" s="291"/>
      <c r="H55" s="291"/>
      <c r="I55" s="291"/>
      <c r="J55" s="290"/>
      <c r="L55" s="632"/>
    </row>
    <row r="56" spans="2:16" ht="15" customHeight="1" x14ac:dyDescent="0.25">
      <c r="B56" s="2" t="s">
        <v>362</v>
      </c>
      <c r="C56" s="374" t="s">
        <v>607</v>
      </c>
      <c r="D56" s="420" t="str">
        <f>+"in "&amp;'1. Annahmen'!$E$14</f>
        <v>in Tsd. €</v>
      </c>
      <c r="G56" s="371">
        <v>-5</v>
      </c>
      <c r="H56" s="371">
        <v>-5</v>
      </c>
      <c r="I56" s="371">
        <v>-5</v>
      </c>
      <c r="J56" s="290"/>
      <c r="L56" s="632"/>
    </row>
    <row r="57" spans="2:16" ht="5.0999999999999996" customHeight="1" x14ac:dyDescent="0.25">
      <c r="G57" s="291"/>
      <c r="H57" s="291"/>
      <c r="I57" s="292"/>
      <c r="J57" s="290"/>
      <c r="L57" s="632"/>
    </row>
    <row r="58" spans="2:16" ht="15" customHeight="1" x14ac:dyDescent="0.25">
      <c r="B58" s="2" t="s">
        <v>363</v>
      </c>
      <c r="C58" s="374" t="s">
        <v>608</v>
      </c>
      <c r="D58" s="420" t="str">
        <f>+"in "&amp;'1. Annahmen'!$E$14</f>
        <v>in Tsd. €</v>
      </c>
      <c r="G58" s="371">
        <v>-2</v>
      </c>
      <c r="H58" s="371">
        <v>-2</v>
      </c>
      <c r="I58" s="371">
        <v>-2</v>
      </c>
      <c r="J58" s="290"/>
      <c r="L58" s="632"/>
    </row>
    <row r="59" spans="2:16" ht="5.0999999999999996" customHeight="1" x14ac:dyDescent="0.25">
      <c r="G59" s="291"/>
      <c r="H59" s="291"/>
      <c r="I59" s="292"/>
      <c r="J59" s="290"/>
      <c r="L59" s="632"/>
    </row>
    <row r="60" spans="2:16" ht="15" customHeight="1" x14ac:dyDescent="0.25">
      <c r="B60" s="2" t="s">
        <v>364</v>
      </c>
      <c r="C60" s="374" t="s">
        <v>609</v>
      </c>
      <c r="D60" s="420"/>
      <c r="G60" s="371">
        <v>0</v>
      </c>
      <c r="H60" s="371">
        <v>0</v>
      </c>
      <c r="I60" s="371">
        <v>0</v>
      </c>
      <c r="J60" s="290"/>
      <c r="L60" s="634" t="s">
        <v>614</v>
      </c>
    </row>
    <row r="61" spans="2:16" ht="5.0999999999999996" customHeight="1" x14ac:dyDescent="0.25">
      <c r="G61" s="291"/>
      <c r="H61" s="291"/>
      <c r="I61" s="292"/>
      <c r="J61" s="290"/>
      <c r="L61" s="632"/>
    </row>
    <row r="62" spans="2:16" ht="15" customHeight="1" x14ac:dyDescent="0.25">
      <c r="B62" s="2" t="s">
        <v>365</v>
      </c>
      <c r="C62" s="374" t="s">
        <v>372</v>
      </c>
      <c r="D62" s="420" t="str">
        <f>+"in "&amp;'1. Annahmen'!$E$14</f>
        <v>in Tsd. €</v>
      </c>
      <c r="G62" s="371">
        <v>0</v>
      </c>
      <c r="H62" s="371">
        <v>0</v>
      </c>
      <c r="I62" s="371">
        <v>0</v>
      </c>
      <c r="J62" s="290"/>
      <c r="L62" s="632"/>
    </row>
    <row r="63" spans="2:16" ht="5.0999999999999996" customHeight="1" x14ac:dyDescent="0.25">
      <c r="G63" s="291"/>
      <c r="H63" s="291"/>
      <c r="I63" s="292"/>
      <c r="J63" s="290"/>
      <c r="L63" s="632"/>
    </row>
    <row r="64" spans="2:16" ht="15" customHeight="1" x14ac:dyDescent="0.25">
      <c r="B64" s="2" t="s">
        <v>366</v>
      </c>
      <c r="C64" s="374" t="s">
        <v>373</v>
      </c>
      <c r="D64" s="420" t="str">
        <f>+"in "&amp;'1. Annahmen'!$E$14</f>
        <v>in Tsd. €</v>
      </c>
      <c r="G64" s="371">
        <v>0</v>
      </c>
      <c r="H64" s="371">
        <v>0</v>
      </c>
      <c r="I64" s="371">
        <v>0</v>
      </c>
      <c r="J64" s="290"/>
      <c r="L64" s="632"/>
    </row>
    <row r="65" spans="2:16" ht="5.0999999999999996" customHeight="1" x14ac:dyDescent="0.25">
      <c r="G65" s="291"/>
      <c r="H65" s="291"/>
      <c r="I65" s="292"/>
      <c r="J65" s="290"/>
      <c r="L65" s="632"/>
    </row>
    <row r="66" spans="2:16" ht="15" customHeight="1" x14ac:dyDescent="0.25">
      <c r="B66" s="2" t="s">
        <v>368</v>
      </c>
      <c r="C66" s="374" t="s">
        <v>374</v>
      </c>
      <c r="D66" s="420" t="str">
        <f>+"in "&amp;'1. Annahmen'!$E$14</f>
        <v>in Tsd. €</v>
      </c>
      <c r="G66" s="371">
        <v>0</v>
      </c>
      <c r="H66" s="371">
        <v>0</v>
      </c>
      <c r="I66" s="371">
        <v>0</v>
      </c>
      <c r="J66" s="290"/>
      <c r="L66" s="634" t="s">
        <v>610</v>
      </c>
    </row>
    <row r="67" spans="2:16" s="8" customFormat="1" ht="15" customHeight="1" x14ac:dyDescent="0.25">
      <c r="B67" s="35" t="s">
        <v>375</v>
      </c>
      <c r="C67" s="389"/>
      <c r="D67" s="390" t="str">
        <f>+"in "&amp;'1. Annahmen'!$E$14</f>
        <v>in Tsd. €</v>
      </c>
      <c r="E67" s="35"/>
      <c r="F67" s="35"/>
      <c r="G67" s="652">
        <f>IF($E$52="bitte auswählen",0,G54*$P$52+SUM(G56,G58,G60,G62,G64,G66)*(1-$P$52))</f>
        <v>0</v>
      </c>
      <c r="H67" s="652">
        <f t="shared" ref="H67:I67" si="1">IF($E$52="bitte auswählen",0,H54*$P$52+SUM(H56,H58,H60,H62,H64,H66)*(1-$P$52))</f>
        <v>0</v>
      </c>
      <c r="I67" s="652">
        <f t="shared" si="1"/>
        <v>0</v>
      </c>
      <c r="J67" s="293"/>
      <c r="L67" s="635"/>
      <c r="M67" s="489"/>
      <c r="N67" s="489"/>
      <c r="O67" s="489"/>
    </row>
    <row r="68" spans="2:16" ht="15" customHeight="1" x14ac:dyDescent="0.25">
      <c r="G68" s="291"/>
      <c r="H68" s="291"/>
      <c r="I68" s="292"/>
      <c r="J68" s="290"/>
      <c r="L68" s="632"/>
    </row>
    <row r="69" spans="2:16" ht="45" x14ac:dyDescent="0.25">
      <c r="B69" s="299" t="s">
        <v>639</v>
      </c>
      <c r="C69" s="645" t="s">
        <v>376</v>
      </c>
      <c r="G69" s="291"/>
      <c r="H69" s="291"/>
      <c r="I69" s="292"/>
      <c r="J69" s="290"/>
      <c r="L69" s="634" t="s">
        <v>615</v>
      </c>
    </row>
    <row r="70" spans="2:16" ht="15" customHeight="1" x14ac:dyDescent="0.25">
      <c r="B70" s="299"/>
      <c r="C70" s="489" t="s">
        <v>624</v>
      </c>
      <c r="E70" s="370" t="s">
        <v>6</v>
      </c>
      <c r="G70" s="291"/>
      <c r="H70" s="291"/>
      <c r="I70" s="291"/>
      <c r="J70" s="290"/>
      <c r="L70" s="634"/>
    </row>
    <row r="71" spans="2:16" ht="22.5" x14ac:dyDescent="0.25">
      <c r="B71" s="299"/>
      <c r="C71" s="645"/>
      <c r="G71" s="291"/>
      <c r="H71" s="291"/>
      <c r="I71" s="291"/>
      <c r="J71" s="290"/>
      <c r="L71" s="634"/>
      <c r="P71" s="2">
        <f>+IF(E70="ja",1,0)</f>
        <v>0</v>
      </c>
    </row>
    <row r="72" spans="2:16" ht="15" x14ac:dyDescent="0.25">
      <c r="B72" s="288"/>
      <c r="C72" s="646" t="s">
        <v>616</v>
      </c>
      <c r="D72" s="420" t="str">
        <f>+"in "&amp;'1. Annahmen'!$E$14</f>
        <v>in Tsd. €</v>
      </c>
      <c r="G72" s="289">
        <v>0</v>
      </c>
      <c r="H72" s="289">
        <v>0</v>
      </c>
      <c r="I72" s="289">
        <v>0</v>
      </c>
      <c r="J72" s="290"/>
      <c r="L72" s="632"/>
    </row>
    <row r="73" spans="2:16" ht="5.0999999999999996" customHeight="1" x14ac:dyDescent="0.25">
      <c r="G73" s="291"/>
      <c r="H73" s="291"/>
      <c r="I73" s="292"/>
      <c r="J73" s="290"/>
      <c r="L73" s="632"/>
    </row>
    <row r="74" spans="2:16" ht="15" customHeight="1" x14ac:dyDescent="0.25">
      <c r="B74" s="35" t="s">
        <v>377</v>
      </c>
      <c r="C74" s="389"/>
      <c r="D74" s="389"/>
      <c r="E74" s="35"/>
      <c r="F74" s="120"/>
      <c r="G74" s="652">
        <f>+SUM(G72)*P71</f>
        <v>0</v>
      </c>
      <c r="H74" s="652">
        <f>+SUM(H72)</f>
        <v>0</v>
      </c>
      <c r="I74" s="652">
        <f>+SUM(I72)</f>
        <v>0</v>
      </c>
      <c r="J74" s="290"/>
      <c r="L74" s="632"/>
    </row>
    <row r="75" spans="2:16" ht="15" customHeight="1" x14ac:dyDescent="0.25">
      <c r="B75" s="8"/>
      <c r="C75" s="489"/>
      <c r="D75" s="489"/>
      <c r="E75" s="8"/>
      <c r="G75" s="653"/>
      <c r="H75" s="653"/>
      <c r="I75" s="654"/>
      <c r="J75" s="290"/>
      <c r="L75" s="632"/>
    </row>
    <row r="76" spans="2:16" ht="15" customHeight="1" x14ac:dyDescent="0.25">
      <c r="B76" s="8"/>
      <c r="C76" s="489"/>
      <c r="D76" s="489"/>
      <c r="E76" s="8"/>
      <c r="G76" s="653"/>
      <c r="H76" s="653"/>
      <c r="I76" s="654"/>
      <c r="J76" s="290"/>
      <c r="L76" s="632"/>
    </row>
    <row r="77" spans="2:16" ht="15" customHeight="1" x14ac:dyDescent="0.25">
      <c r="B77" s="2" t="s">
        <v>378</v>
      </c>
      <c r="G77" s="655">
        <f>+G29+G48+G67+G74</f>
        <v>109</v>
      </c>
      <c r="H77" s="655">
        <f>+H29+H48+H67+H74</f>
        <v>153</v>
      </c>
      <c r="I77" s="656">
        <f>+I29+I48+I67+I74</f>
        <v>154</v>
      </c>
      <c r="J77" s="290"/>
      <c r="L77" s="632"/>
    </row>
    <row r="78" spans="2:16" ht="15" customHeight="1" x14ac:dyDescent="0.25">
      <c r="B78" s="2" t="s">
        <v>379</v>
      </c>
      <c r="E78" s="660">
        <v>0.3</v>
      </c>
      <c r="G78" s="655">
        <f>+IF(G77&gt;=0,G77*-$E$78,0)</f>
        <v>-32.699999999999996</v>
      </c>
      <c r="H78" s="655">
        <f>+IF(H77&gt;=0,H77*-$E$78,0)</f>
        <v>-45.9</v>
      </c>
      <c r="I78" s="656">
        <f>+IF(I77&gt;=0,I77*-$E$78,0)</f>
        <v>-46.199999999999996</v>
      </c>
      <c r="J78" s="290"/>
      <c r="L78" s="632"/>
    </row>
    <row r="79" spans="2:16" ht="5.0999999999999996" customHeight="1" x14ac:dyDescent="0.25">
      <c r="G79" s="655"/>
      <c r="H79" s="655"/>
      <c r="I79" s="656"/>
      <c r="J79" s="290"/>
      <c r="L79" s="632"/>
    </row>
    <row r="80" spans="2:16" ht="15" customHeight="1" x14ac:dyDescent="0.25">
      <c r="B80" s="35" t="s">
        <v>380</v>
      </c>
      <c r="C80" s="389"/>
      <c r="D80" s="389"/>
      <c r="E80" s="35"/>
      <c r="F80" s="120"/>
      <c r="G80" s="657">
        <f>+SUM(G77:G78)</f>
        <v>76.300000000000011</v>
      </c>
      <c r="H80" s="657">
        <f>+SUM(H77:H78)</f>
        <v>107.1</v>
      </c>
      <c r="I80" s="658">
        <f>+SUM(I77:I78)</f>
        <v>107.80000000000001</v>
      </c>
      <c r="J80" s="290"/>
      <c r="L80" s="632"/>
    </row>
    <row r="81" spans="2:16" ht="5.0999999999999996" customHeight="1" x14ac:dyDescent="0.25">
      <c r="G81" s="655"/>
      <c r="H81" s="655"/>
      <c r="I81" s="655"/>
      <c r="J81" s="294"/>
      <c r="L81" s="632"/>
    </row>
    <row r="82" spans="2:16" ht="15" customHeight="1" x14ac:dyDescent="0.25">
      <c r="B82" s="35" t="s">
        <v>381</v>
      </c>
      <c r="C82" s="644"/>
      <c r="D82" s="644"/>
      <c r="E82" s="120"/>
      <c r="F82" s="120"/>
      <c r="G82" s="659"/>
      <c r="H82" s="659"/>
      <c r="I82" s="659"/>
      <c r="J82" s="657">
        <f>+AVERAGE(G80:I80)</f>
        <v>97.066666666666677</v>
      </c>
      <c r="L82" s="632"/>
    </row>
    <row r="83" spans="2:16" ht="15" customHeight="1" x14ac:dyDescent="0.25">
      <c r="G83" s="655"/>
      <c r="H83" s="655"/>
      <c r="I83" s="655"/>
      <c r="J83" s="661"/>
      <c r="L83" s="632"/>
    </row>
    <row r="84" spans="2:16" ht="15" customHeight="1" x14ac:dyDescent="0.25">
      <c r="B84" s="2" t="s">
        <v>382</v>
      </c>
      <c r="G84" s="655"/>
      <c r="H84" s="655"/>
      <c r="I84" s="655"/>
      <c r="J84" s="662">
        <f>+'1. Annahmen'!E26</f>
        <v>13.75</v>
      </c>
      <c r="L84" s="632"/>
    </row>
    <row r="85" spans="2:16" ht="5.0999999999999996" customHeight="1" x14ac:dyDescent="0.25">
      <c r="G85" s="291"/>
      <c r="H85" s="291"/>
      <c r="I85" s="291"/>
      <c r="J85" s="661"/>
      <c r="L85" s="632"/>
    </row>
    <row r="86" spans="2:16" ht="15" customHeight="1" x14ac:dyDescent="0.25">
      <c r="B86" s="35" t="s">
        <v>383</v>
      </c>
      <c r="C86" s="644"/>
      <c r="D86" s="644"/>
      <c r="E86" s="120"/>
      <c r="F86" s="120"/>
      <c r="G86" s="295"/>
      <c r="H86" s="295"/>
      <c r="I86" s="295"/>
      <c r="J86" s="657">
        <f>+J82*J84</f>
        <v>1334.6666666666667</v>
      </c>
      <c r="L86" s="632"/>
    </row>
    <row r="87" spans="2:16" ht="15" customHeight="1" x14ac:dyDescent="0.25">
      <c r="G87" s="291"/>
      <c r="H87" s="291"/>
      <c r="I87" s="291"/>
      <c r="J87" s="661"/>
      <c r="L87" s="632"/>
    </row>
    <row r="88" spans="2:16" ht="15" customHeight="1" x14ac:dyDescent="0.25">
      <c r="G88" s="291"/>
      <c r="H88" s="291"/>
      <c r="I88" s="291"/>
      <c r="J88" s="294"/>
      <c r="L88" s="632"/>
    </row>
    <row r="89" spans="2:16" ht="30" x14ac:dyDescent="0.25">
      <c r="B89" s="299" t="s">
        <v>640</v>
      </c>
      <c r="C89" s="645" t="s">
        <v>626</v>
      </c>
      <c r="G89" s="291"/>
      <c r="H89" s="291"/>
      <c r="I89" s="291"/>
      <c r="J89" s="294"/>
      <c r="L89" s="634" t="s">
        <v>617</v>
      </c>
    </row>
    <row r="90" spans="2:16" ht="5.0999999999999996" customHeight="1" x14ac:dyDescent="0.25">
      <c r="G90" s="291"/>
      <c r="H90" s="291"/>
      <c r="I90" s="291"/>
      <c r="J90" s="294"/>
      <c r="L90" s="632"/>
    </row>
    <row r="91" spans="2:16" ht="15" customHeight="1" x14ac:dyDescent="0.25">
      <c r="C91" s="489" t="s">
        <v>625</v>
      </c>
      <c r="D91" s="420"/>
      <c r="E91" s="370" t="s">
        <v>6</v>
      </c>
      <c r="G91" s="294"/>
      <c r="H91" s="294"/>
      <c r="I91" s="294"/>
      <c r="J91" s="294"/>
      <c r="L91" s="632"/>
      <c r="P91" s="2">
        <f>+IF(E91="ja",1,0)</f>
        <v>0</v>
      </c>
    </row>
    <row r="92" spans="2:16" ht="5.0999999999999996" customHeight="1" x14ac:dyDescent="0.25">
      <c r="G92" s="291"/>
      <c r="H92" s="291"/>
      <c r="I92" s="291"/>
      <c r="J92" s="294"/>
      <c r="L92" s="632"/>
    </row>
    <row r="93" spans="2:16" ht="15" customHeight="1" x14ac:dyDescent="0.25">
      <c r="B93" s="2" t="s">
        <v>384</v>
      </c>
      <c r="D93" s="420"/>
      <c r="G93" s="294"/>
      <c r="H93" s="294"/>
      <c r="I93" s="294"/>
      <c r="J93" s="294"/>
      <c r="L93" s="632"/>
    </row>
    <row r="94" spans="2:16" ht="5.0999999999999996" customHeight="1" x14ac:dyDescent="0.25">
      <c r="G94" s="294"/>
      <c r="H94" s="294"/>
      <c r="I94" s="294"/>
      <c r="J94" s="294"/>
      <c r="L94" s="632"/>
    </row>
    <row r="95" spans="2:16" ht="15" customHeight="1" x14ac:dyDescent="0.25">
      <c r="B95" s="191" t="s">
        <v>385</v>
      </c>
      <c r="C95" s="647"/>
      <c r="D95" s="420" t="str">
        <f>+"in "&amp;'1. Annahmen'!$E$14</f>
        <v>in Tsd. €</v>
      </c>
      <c r="G95" s="294"/>
      <c r="H95" s="294"/>
      <c r="I95" s="294"/>
      <c r="J95" s="371">
        <v>5</v>
      </c>
      <c r="L95" s="632"/>
    </row>
    <row r="96" spans="2:16" ht="15" customHeight="1" x14ac:dyDescent="0.25">
      <c r="B96" s="192" t="s">
        <v>618</v>
      </c>
      <c r="C96" s="648"/>
      <c r="D96" s="420" t="str">
        <f>+"in "&amp;'1. Annahmen'!$E$14</f>
        <v>in Tsd. €</v>
      </c>
      <c r="G96" s="294"/>
      <c r="H96" s="294"/>
      <c r="I96" s="294"/>
      <c r="J96" s="371">
        <v>0</v>
      </c>
      <c r="L96" s="632"/>
    </row>
    <row r="97" spans="2:12" ht="15" customHeight="1" x14ac:dyDescent="0.25">
      <c r="B97" s="192" t="s">
        <v>619</v>
      </c>
      <c r="C97" s="648"/>
      <c r="D97" s="420" t="str">
        <f>+"in "&amp;'1. Annahmen'!$E$14</f>
        <v>in Tsd. €</v>
      </c>
      <c r="G97" s="294"/>
      <c r="H97" s="294"/>
      <c r="I97" s="294"/>
      <c r="J97" s="371">
        <v>0</v>
      </c>
      <c r="L97" s="632"/>
    </row>
    <row r="98" spans="2:12" ht="5.0999999999999996" customHeight="1" x14ac:dyDescent="0.25">
      <c r="G98" s="294"/>
      <c r="H98" s="294"/>
      <c r="I98" s="294"/>
      <c r="J98" s="294"/>
      <c r="L98" s="632"/>
    </row>
    <row r="99" spans="2:12" ht="15" customHeight="1" x14ac:dyDescent="0.25">
      <c r="B99" s="35" t="s">
        <v>386</v>
      </c>
      <c r="C99" s="389"/>
      <c r="D99" s="389"/>
      <c r="E99" s="35"/>
      <c r="F99" s="120"/>
      <c r="G99" s="296"/>
      <c r="H99" s="296"/>
      <c r="I99" s="296"/>
      <c r="J99" s="657">
        <f>+SUM(J95:J97)*$P$91</f>
        <v>0</v>
      </c>
      <c r="L99" s="632"/>
    </row>
    <row r="100" spans="2:12" ht="15" customHeight="1" x14ac:dyDescent="0.25">
      <c r="G100" s="294"/>
      <c r="H100" s="294"/>
      <c r="I100" s="294"/>
      <c r="J100" s="294"/>
      <c r="L100" s="632"/>
    </row>
    <row r="101" spans="2:12" ht="15" customHeight="1" x14ac:dyDescent="0.25">
      <c r="B101" s="2" t="s">
        <v>387</v>
      </c>
      <c r="D101" s="420"/>
      <c r="G101" s="294"/>
      <c r="H101" s="294"/>
      <c r="I101" s="294"/>
      <c r="J101" s="294"/>
      <c r="L101" s="632"/>
    </row>
    <row r="102" spans="2:12" ht="5.0999999999999996" customHeight="1" x14ac:dyDescent="0.25">
      <c r="G102" s="294"/>
      <c r="H102" s="294"/>
      <c r="I102" s="294"/>
      <c r="J102" s="294"/>
      <c r="L102" s="632"/>
    </row>
    <row r="103" spans="2:12" ht="15" customHeight="1" x14ac:dyDescent="0.25">
      <c r="B103" s="191" t="s">
        <v>388</v>
      </c>
      <c r="C103" s="647"/>
      <c r="D103" s="420" t="str">
        <f>+"in "&amp;'1. Annahmen'!$E$14</f>
        <v>in Tsd. €</v>
      </c>
      <c r="G103" s="294"/>
      <c r="H103" s="294"/>
      <c r="I103" s="294"/>
      <c r="J103" s="371">
        <v>0</v>
      </c>
      <c r="L103" s="632"/>
    </row>
    <row r="104" spans="2:12" ht="15" customHeight="1" x14ac:dyDescent="0.25">
      <c r="B104" s="192" t="s">
        <v>389</v>
      </c>
      <c r="C104" s="648"/>
      <c r="D104" s="420" t="str">
        <f>+"in "&amp;'1. Annahmen'!$E$14</f>
        <v>in Tsd. €</v>
      </c>
      <c r="G104" s="294"/>
      <c r="H104" s="294"/>
      <c r="I104" s="294"/>
      <c r="J104" s="371">
        <v>0</v>
      </c>
      <c r="L104" s="632"/>
    </row>
    <row r="105" spans="2:12" ht="15" customHeight="1" x14ac:dyDescent="0.25">
      <c r="B105" s="192" t="s">
        <v>390</v>
      </c>
      <c r="C105" s="648"/>
      <c r="D105" s="420" t="str">
        <f>+"in "&amp;'1. Annahmen'!$E$14</f>
        <v>in Tsd. €</v>
      </c>
      <c r="G105" s="294"/>
      <c r="H105" s="294"/>
      <c r="I105" s="294"/>
      <c r="J105" s="371">
        <v>0</v>
      </c>
      <c r="L105" s="632"/>
    </row>
    <row r="106" spans="2:12" ht="5.0999999999999996" customHeight="1" x14ac:dyDescent="0.25">
      <c r="G106" s="294"/>
      <c r="H106" s="294"/>
      <c r="I106" s="294"/>
      <c r="J106" s="294"/>
      <c r="L106" s="632"/>
    </row>
    <row r="107" spans="2:12" ht="15" customHeight="1" x14ac:dyDescent="0.25">
      <c r="B107" s="35" t="s">
        <v>391</v>
      </c>
      <c r="C107" s="389"/>
      <c r="D107" s="389"/>
      <c r="E107" s="35"/>
      <c r="F107" s="120"/>
      <c r="G107" s="296"/>
      <c r="H107" s="296"/>
      <c r="I107" s="296"/>
      <c r="J107" s="657">
        <f>+SUM(J103:J105)*$P$91</f>
        <v>0</v>
      </c>
      <c r="L107" s="632"/>
    </row>
    <row r="108" spans="2:12" ht="15" customHeight="1" x14ac:dyDescent="0.25">
      <c r="G108" s="294"/>
      <c r="H108" s="294"/>
      <c r="I108" s="294"/>
      <c r="J108" s="294"/>
      <c r="L108" s="632"/>
    </row>
    <row r="109" spans="2:12" ht="15" customHeight="1" x14ac:dyDescent="0.25">
      <c r="B109" s="2" t="s">
        <v>392</v>
      </c>
      <c r="G109" s="294"/>
      <c r="H109" s="294"/>
      <c r="I109" s="294"/>
      <c r="J109" s="294"/>
      <c r="L109" s="632"/>
    </row>
    <row r="110" spans="2:12" ht="5.0999999999999996" customHeight="1" x14ac:dyDescent="0.25">
      <c r="G110" s="294"/>
      <c r="H110" s="294"/>
      <c r="I110" s="294"/>
      <c r="J110" s="294"/>
      <c r="L110" s="632"/>
    </row>
    <row r="111" spans="2:12" ht="15" customHeight="1" x14ac:dyDescent="0.25">
      <c r="B111" s="191" t="s">
        <v>393</v>
      </c>
      <c r="C111" s="647"/>
      <c r="D111" s="420" t="str">
        <f>+"in "&amp;'1. Annahmen'!$E$14</f>
        <v>in Tsd. €</v>
      </c>
      <c r="G111" s="294"/>
      <c r="H111" s="294"/>
      <c r="I111" s="294"/>
      <c r="J111" s="371">
        <v>0</v>
      </c>
      <c r="L111" s="632"/>
    </row>
    <row r="112" spans="2:12" ht="15" customHeight="1" x14ac:dyDescent="0.25">
      <c r="B112" s="192" t="s">
        <v>394</v>
      </c>
      <c r="C112" s="648"/>
      <c r="D112" s="420" t="str">
        <f>+"in "&amp;'1. Annahmen'!$E$14</f>
        <v>in Tsd. €</v>
      </c>
      <c r="G112" s="294"/>
      <c r="H112" s="294"/>
      <c r="I112" s="294"/>
      <c r="J112" s="371">
        <v>0</v>
      </c>
      <c r="L112" s="632"/>
    </row>
    <row r="113" spans="1:15" ht="15" customHeight="1" x14ac:dyDescent="0.25">
      <c r="B113" s="192" t="s">
        <v>395</v>
      </c>
      <c r="C113" s="648"/>
      <c r="D113" s="420" t="str">
        <f>+"in "&amp;'1. Annahmen'!$E$14</f>
        <v>in Tsd. €</v>
      </c>
      <c r="G113" s="294"/>
      <c r="H113" s="294"/>
      <c r="I113" s="294"/>
      <c r="J113" s="371">
        <v>0</v>
      </c>
      <c r="L113" s="632"/>
    </row>
    <row r="114" spans="1:15" ht="5.0999999999999996" customHeight="1" x14ac:dyDescent="0.25">
      <c r="G114" s="294"/>
      <c r="H114" s="294"/>
      <c r="I114" s="294"/>
      <c r="J114" s="294"/>
      <c r="L114" s="632"/>
    </row>
    <row r="115" spans="1:15" ht="15" customHeight="1" x14ac:dyDescent="0.25">
      <c r="B115" s="35" t="s">
        <v>396</v>
      </c>
      <c r="C115" s="389"/>
      <c r="D115" s="390" t="str">
        <f>+"in "&amp;'1. Annahmen'!$E$14</f>
        <v>in Tsd. €</v>
      </c>
      <c r="E115" s="389"/>
      <c r="F115" s="644"/>
      <c r="G115" s="663"/>
      <c r="H115" s="663"/>
      <c r="I115" s="663"/>
      <c r="J115" s="657">
        <f>+SUM(J111:J113)*$P$91</f>
        <v>0</v>
      </c>
      <c r="L115" s="632"/>
    </row>
    <row r="116" spans="1:15" ht="5.0999999999999996" customHeight="1" x14ac:dyDescent="0.25">
      <c r="E116" s="374"/>
      <c r="F116" s="374"/>
      <c r="G116" s="655"/>
      <c r="H116" s="655"/>
      <c r="I116" s="655"/>
      <c r="J116" s="661"/>
      <c r="L116" s="632"/>
    </row>
    <row r="117" spans="1:15" ht="15" customHeight="1" x14ac:dyDescent="0.25">
      <c r="B117" s="193" t="s">
        <v>397</v>
      </c>
      <c r="C117" s="649"/>
      <c r="D117" s="650" t="str">
        <f>+"in "&amp;'1. Annahmen'!$E$14</f>
        <v>in Tsd. €</v>
      </c>
      <c r="E117" s="649"/>
      <c r="F117" s="644"/>
      <c r="G117" s="664"/>
      <c r="H117" s="664"/>
      <c r="I117" s="664"/>
      <c r="J117" s="665">
        <f>+J86+J99+J107+J115</f>
        <v>1334.6666666666667</v>
      </c>
      <c r="L117" s="632"/>
    </row>
    <row r="118" spans="1:15" ht="15" customHeight="1" x14ac:dyDescent="0.25">
      <c r="B118" s="8"/>
      <c r="E118" s="374"/>
      <c r="F118" s="644"/>
      <c r="G118" s="655"/>
      <c r="H118" s="655"/>
      <c r="I118" s="655"/>
      <c r="J118" s="653"/>
      <c r="L118" s="632"/>
    </row>
    <row r="119" spans="1:15" ht="15" customHeight="1" x14ac:dyDescent="0.25">
      <c r="B119" s="2" t="s">
        <v>348</v>
      </c>
      <c r="D119" s="420" t="s">
        <v>41</v>
      </c>
      <c r="E119" s="374"/>
      <c r="F119" s="374"/>
      <c r="G119" s="655"/>
      <c r="H119" s="655"/>
      <c r="I119" s="655"/>
      <c r="J119" s="666">
        <f>+'1. Annahmen'!E16</f>
        <v>1</v>
      </c>
      <c r="L119" s="632"/>
    </row>
    <row r="120" spans="1:15" ht="5.0999999999999996" customHeight="1" x14ac:dyDescent="0.25">
      <c r="E120" s="374"/>
      <c r="F120" s="374"/>
      <c r="G120" s="655"/>
      <c r="H120" s="655"/>
      <c r="I120" s="655"/>
      <c r="J120" s="661"/>
      <c r="L120" s="632"/>
    </row>
    <row r="121" spans="1:15" ht="15" customHeight="1" x14ac:dyDescent="0.25">
      <c r="B121" s="193" t="s">
        <v>398</v>
      </c>
      <c r="C121" s="649"/>
      <c r="D121" s="650" t="str">
        <f>+"in "&amp;'1. Annahmen'!$E$14</f>
        <v>in Tsd. €</v>
      </c>
      <c r="E121" s="649"/>
      <c r="F121" s="644"/>
      <c r="G121" s="664"/>
      <c r="H121" s="664"/>
      <c r="I121" s="664"/>
      <c r="J121" s="665">
        <f>+J117*J119</f>
        <v>1334.6666666666667</v>
      </c>
      <c r="L121" s="632"/>
    </row>
    <row r="122" spans="1:15" ht="15" customHeight="1" x14ac:dyDescent="0.25">
      <c r="E122" s="374"/>
      <c r="F122" s="644"/>
      <c r="G122" s="661"/>
      <c r="H122" s="661"/>
      <c r="I122" s="661"/>
      <c r="J122" s="661"/>
      <c r="L122" s="632"/>
    </row>
    <row r="123" spans="1:15" s="197" customFormat="1" ht="15" customHeight="1" x14ac:dyDescent="0.25">
      <c r="A123" s="197" t="s">
        <v>410</v>
      </c>
      <c r="C123" s="561"/>
      <c r="D123" s="561"/>
      <c r="L123" s="561"/>
      <c r="M123" s="561"/>
      <c r="N123" s="561"/>
      <c r="O123" s="561"/>
    </row>
  </sheetData>
  <sheetProtection algorithmName="SHA-512" hashValue="U1MvEtSnVwZsUXEIRnX4DEJqrK+P7yPWwlPuLwAvSZ7cv7/rHtBBy3MAW3vwQquI+yBQACqv0KszLcv/Wbps1g==" saltValue="Q5MxZoxh57GFbxWFviHXIw==" spinCount="100000" sheet="1" objects="1" scenarios="1"/>
  <mergeCells count="1">
    <mergeCell ref="B6:B13"/>
  </mergeCells>
  <conditionalFormatting sqref="G35:I35">
    <cfRule type="expression" dxfId="91" priority="43">
      <formula>$E$33="Einzeln eingeben"</formula>
    </cfRule>
    <cfRule type="expression" dxfId="90" priority="42">
      <formula>$E$33="bitte auswählen"</formula>
    </cfRule>
  </conditionalFormatting>
  <conditionalFormatting sqref="G37:I37">
    <cfRule type="expression" dxfId="89" priority="60">
      <formula>$E$33="Summe eingeben"</formula>
    </cfRule>
    <cfRule type="expression" dxfId="88" priority="41">
      <formula>$E$33="bitte auswählen"</formula>
    </cfRule>
  </conditionalFormatting>
  <conditionalFormatting sqref="G39:I39">
    <cfRule type="expression" dxfId="87" priority="40">
      <formula>$E$33="Summe eingeben"</formula>
    </cfRule>
    <cfRule type="expression" dxfId="86" priority="39">
      <formula>$E$33="bitte auswählen"</formula>
    </cfRule>
  </conditionalFormatting>
  <conditionalFormatting sqref="G41:I41">
    <cfRule type="expression" dxfId="85" priority="38">
      <formula>$E$33="Summe eingeben"</formula>
    </cfRule>
    <cfRule type="expression" dxfId="84" priority="37">
      <formula>$E$33="bitte auswählen"</formula>
    </cfRule>
  </conditionalFormatting>
  <conditionalFormatting sqref="G43:I43">
    <cfRule type="expression" dxfId="83" priority="36">
      <formula>$E$33="Summe eingeben"</formula>
    </cfRule>
    <cfRule type="expression" dxfId="82" priority="35">
      <formula>$E$33="bitte auswählen"</formula>
    </cfRule>
  </conditionalFormatting>
  <conditionalFormatting sqref="G45:I45">
    <cfRule type="expression" dxfId="81" priority="34">
      <formula>$E$33="Summe eingeben"</formula>
    </cfRule>
    <cfRule type="expression" dxfId="80" priority="33">
      <formula>$E$33="bitte auswählen"</formula>
    </cfRule>
  </conditionalFormatting>
  <conditionalFormatting sqref="G47:I47">
    <cfRule type="expression" dxfId="79" priority="32">
      <formula>$E$33="Summe eingeben"</formula>
    </cfRule>
    <cfRule type="expression" dxfId="78" priority="31">
      <formula>$E$33="bitte auswählen"</formula>
    </cfRule>
  </conditionalFormatting>
  <conditionalFormatting sqref="G54:I54">
    <cfRule type="expression" dxfId="77" priority="30">
      <formula>$E$52="Einzeln eingeben"</formula>
    </cfRule>
    <cfRule type="expression" dxfId="76" priority="29">
      <formula>$E$52="bitte auswählen"</formula>
    </cfRule>
  </conditionalFormatting>
  <conditionalFormatting sqref="G56:I56">
    <cfRule type="expression" dxfId="75" priority="27">
      <formula>$E$52="bitte auswählen"</formula>
    </cfRule>
    <cfRule type="expression" dxfId="74" priority="28">
      <formula>$E$52="Summe eingeben"</formula>
    </cfRule>
  </conditionalFormatting>
  <conditionalFormatting sqref="G58:I58">
    <cfRule type="expression" dxfId="73" priority="26">
      <formula>$E$52="Summe eingeben"</formula>
    </cfRule>
    <cfRule type="expression" dxfId="72" priority="25">
      <formula>$E$52="bitte auswählen"</formula>
    </cfRule>
  </conditionalFormatting>
  <conditionalFormatting sqref="G60:I60">
    <cfRule type="expression" dxfId="71" priority="24">
      <formula>$E$52="Summe eingeben"</formula>
    </cfRule>
    <cfRule type="expression" dxfId="70" priority="23">
      <formula>$E$52="bitte auswählen"</formula>
    </cfRule>
  </conditionalFormatting>
  <conditionalFormatting sqref="G62:I62">
    <cfRule type="expression" dxfId="69" priority="22">
      <formula>$E$52="Summe eingeben"</formula>
    </cfRule>
    <cfRule type="expression" dxfId="68" priority="21">
      <formula>$E$52="bitte auswählen"</formula>
    </cfRule>
  </conditionalFormatting>
  <conditionalFormatting sqref="G64:I64">
    <cfRule type="expression" dxfId="67" priority="20">
      <formula>$E$52="Summe eingeben"</formula>
    </cfRule>
    <cfRule type="expression" dxfId="66" priority="19">
      <formula>$E$52="bitte auswählen"</formula>
    </cfRule>
  </conditionalFormatting>
  <conditionalFormatting sqref="G66:I66">
    <cfRule type="expression" dxfId="65" priority="18">
      <formula>$E$52="Summe eingeben"</formula>
    </cfRule>
    <cfRule type="expression" dxfId="64" priority="17">
      <formula>$E$52="bitte auswählen"</formula>
    </cfRule>
  </conditionalFormatting>
  <conditionalFormatting sqref="G72:I72">
    <cfRule type="expression" dxfId="63" priority="16">
      <formula>$E$70="nein"</formula>
    </cfRule>
    <cfRule type="expression" dxfId="62" priority="15">
      <formula>$E$70="bitte auswählen"</formula>
    </cfRule>
  </conditionalFormatting>
  <conditionalFormatting sqref="J95:J97">
    <cfRule type="expression" dxfId="61" priority="14">
      <formula>$E$91="nein"</formula>
    </cfRule>
    <cfRule type="expression" dxfId="60" priority="13">
      <formula>$E$91="bitte auswählen"</formula>
    </cfRule>
  </conditionalFormatting>
  <conditionalFormatting sqref="J103:J105">
    <cfRule type="expression" dxfId="59" priority="7">
      <formula>$E$91="bitte auswählen"</formula>
    </cfRule>
    <cfRule type="expression" dxfId="58" priority="8">
      <formula>$E$91="nein"</formula>
    </cfRule>
  </conditionalFormatting>
  <conditionalFormatting sqref="J111:J113">
    <cfRule type="expression" dxfId="57" priority="2">
      <formula>$E$91="nein"</formula>
    </cfRule>
    <cfRule type="expression" dxfId="56" priority="1">
      <formula>$E$91="bitte auswählen"</formula>
    </cfRule>
  </conditionalFormatting>
  <dataValidations count="2">
    <dataValidation type="list" allowBlank="1" showInputMessage="1" showErrorMessage="1" sqref="E52 E33" xr:uid="{406A3B41-348E-4A1A-A317-ADB73EFD1D6E}">
      <formula1>"bitte auswählen, Summe eingeben,Einzeln eingeben"</formula1>
    </dataValidation>
    <dataValidation type="list" allowBlank="1" showInputMessage="1" showErrorMessage="1" sqref="E70 E91" xr:uid="{78CB3074-250F-444E-8EB9-AB273AE7183E}">
      <formula1>"bitte auswählen,ja,nein"</formula1>
    </dataValidation>
  </dataValidations>
  <pageMargins left="0.70866141732283472" right="0.70866141732283472" top="0.78740157480314965" bottom="0.78740157480314965" header="0.31496062992125984" footer="0.31496062992125984"/>
  <pageSetup paperSize="9" scale="37" orientation="portrait" r:id="rId1"/>
  <headerFooter>
    <oddFooter>&amp;LVersion 1.0 | &amp;D&amp;C&amp;"-,Fett"Streng Vertraulich. &amp;"-,Standard"
&amp;8Ausschließlich zu Informationszwecken. Es wird keine Gewähr oder Haftung für Vollständigkeit, Richtigkeit oder aus der Nutzung des Modells abgeleitete Entscheidungen übernommen. &amp;R&amp;P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22512-182F-49B7-8F7C-3541A581ACC0}">
  <sheetPr>
    <tabColor theme="0"/>
    <pageSetUpPr fitToPage="1"/>
  </sheetPr>
  <dimension ref="A1:Y67"/>
  <sheetViews>
    <sheetView showGridLines="0" zoomScaleNormal="100" workbookViewId="0"/>
  </sheetViews>
  <sheetFormatPr baseColWidth="10" defaultColWidth="0" defaultRowHeight="15" zeroHeight="1" x14ac:dyDescent="0.25"/>
  <cols>
    <col min="1" max="1" width="2.7109375" style="2" customWidth="1"/>
    <col min="2" max="2" width="3.7109375" style="2" customWidth="1"/>
    <col min="3" max="3" width="100.7109375" style="2" customWidth="1"/>
    <col min="4" max="4" width="10.7109375" style="96" customWidth="1"/>
    <col min="5" max="5" width="25.7109375" style="2" customWidth="1"/>
    <col min="6" max="6" width="5.7109375" style="2" customWidth="1"/>
    <col min="7" max="11" width="13.7109375" style="2" customWidth="1"/>
    <col min="12" max="13" width="12.7109375" style="2" customWidth="1"/>
    <col min="14" max="17" width="11.7109375" style="2" customWidth="1"/>
    <col min="18" max="20" width="11.42578125" style="2" customWidth="1"/>
    <col min="21" max="21" width="2.28515625" style="2" customWidth="1"/>
    <col min="22" max="16384" width="11.42578125" style="2" hidden="1"/>
  </cols>
  <sheetData>
    <row r="1" spans="1:21" s="1" customFormat="1" ht="23.25" x14ac:dyDescent="0.35">
      <c r="A1" s="373" t="s">
        <v>220</v>
      </c>
      <c r="B1" s="373"/>
      <c r="C1" s="373"/>
      <c r="D1" s="581"/>
      <c r="E1" s="373"/>
      <c r="F1" s="373"/>
      <c r="G1" s="373"/>
      <c r="H1" s="373"/>
      <c r="I1" s="373"/>
      <c r="J1" s="373"/>
      <c r="K1" s="373"/>
      <c r="L1" s="373"/>
      <c r="M1" s="373"/>
      <c r="N1" s="373"/>
      <c r="O1" s="373"/>
      <c r="P1" s="373"/>
      <c r="Q1" s="373"/>
      <c r="R1" s="373"/>
      <c r="S1" s="373"/>
      <c r="T1" s="373"/>
    </row>
    <row r="2" spans="1:21" ht="5.0999999999999996" customHeight="1" x14ac:dyDescent="0.25">
      <c r="A2" s="374"/>
      <c r="B2" s="374"/>
      <c r="C2" s="374"/>
      <c r="D2" s="582"/>
      <c r="E2" s="374"/>
      <c r="F2" s="374"/>
      <c r="G2" s="374"/>
      <c r="H2" s="374"/>
      <c r="I2" s="374"/>
      <c r="J2" s="374"/>
      <c r="K2" s="374"/>
      <c r="L2" s="374"/>
      <c r="M2" s="374"/>
      <c r="N2" s="374"/>
      <c r="O2" s="374"/>
      <c r="P2" s="374"/>
      <c r="Q2" s="374"/>
      <c r="R2" s="374"/>
      <c r="S2" s="374"/>
      <c r="T2" s="374"/>
    </row>
    <row r="3" spans="1:21" x14ac:dyDescent="0.25">
      <c r="A3" s="374"/>
      <c r="B3" s="374"/>
      <c r="C3" s="374"/>
      <c r="D3" s="582"/>
      <c r="E3" s="374"/>
      <c r="F3" s="374"/>
      <c r="G3" s="374"/>
      <c r="H3" s="374"/>
      <c r="I3" s="374"/>
      <c r="J3" s="374"/>
      <c r="K3" s="374"/>
      <c r="L3" s="374"/>
      <c r="M3" s="374"/>
      <c r="N3" s="374"/>
      <c r="O3" s="374"/>
      <c r="P3" s="374"/>
      <c r="Q3" s="374"/>
      <c r="R3" s="374"/>
      <c r="S3" s="374"/>
      <c r="T3" s="374"/>
    </row>
    <row r="4" spans="1:21" s="3" customFormat="1" ht="27" thickBot="1" x14ac:dyDescent="0.45">
      <c r="A4" s="375" t="str">
        <f>+"Ergebnis der Unternehmenswertberechnung nach §§ 199 BewG für "&amp;'1. Annahmen'!E9</f>
        <v>Ergebnis der Unternehmenswertberechnung nach §§ 199 BewG für Beispiel AG</v>
      </c>
      <c r="B4" s="375"/>
      <c r="C4" s="375"/>
      <c r="D4" s="583"/>
      <c r="E4" s="375"/>
      <c r="F4" s="375"/>
      <c r="G4" s="375"/>
      <c r="H4" s="375"/>
      <c r="I4" s="375"/>
      <c r="J4" s="375"/>
      <c r="K4" s="375"/>
      <c r="L4" s="375"/>
      <c r="M4" s="375"/>
      <c r="N4" s="375"/>
      <c r="O4" s="375"/>
      <c r="P4" s="375"/>
      <c r="Q4" s="375"/>
      <c r="R4" s="375"/>
      <c r="S4" s="375"/>
      <c r="T4" s="375"/>
    </row>
    <row r="5" spans="1:21" x14ac:dyDescent="0.25">
      <c r="A5" s="374"/>
      <c r="B5" s="374"/>
      <c r="C5" s="374"/>
      <c r="D5" s="374"/>
      <c r="E5" s="374"/>
      <c r="F5" s="374"/>
      <c r="G5" s="374"/>
      <c r="H5" s="374"/>
      <c r="I5" s="374"/>
      <c r="J5" s="374"/>
      <c r="K5" s="374"/>
      <c r="L5" s="374"/>
      <c r="M5" s="374"/>
      <c r="N5" s="374"/>
      <c r="O5" s="374"/>
      <c r="P5" s="374"/>
      <c r="Q5" s="374"/>
      <c r="R5" s="374"/>
      <c r="S5" s="374"/>
      <c r="T5" s="374"/>
    </row>
    <row r="6" spans="1:21" ht="23.25" x14ac:dyDescent="0.35">
      <c r="A6" s="374"/>
      <c r="B6" s="584"/>
      <c r="C6" s="585" t="str">
        <f>+"Wert Ihres Anteils gemäß § 199 BewG [in €]"</f>
        <v>Wert Ihres Anteils gemäß § 199 BewG [in €]</v>
      </c>
      <c r="D6" s="582"/>
      <c r="E6" s="374"/>
      <c r="F6" s="374"/>
      <c r="G6" s="586"/>
      <c r="H6" s="374"/>
      <c r="I6" s="374"/>
      <c r="J6" s="374"/>
      <c r="K6" s="374"/>
      <c r="L6" s="374"/>
      <c r="M6" s="374"/>
      <c r="N6" s="374"/>
      <c r="O6" s="374"/>
      <c r="P6" s="374"/>
      <c r="Q6" s="374"/>
      <c r="R6" s="374"/>
      <c r="S6" s="374"/>
      <c r="T6" s="374"/>
    </row>
    <row r="7" spans="1:21" ht="69" customHeight="1" x14ac:dyDescent="1">
      <c r="A7" s="374"/>
      <c r="B7" s="587" t="s">
        <v>661</v>
      </c>
      <c r="C7" s="588">
        <f>+'2. Vereinfachtes_EWV'!J121*INDEX(Technical!B115:C117,MATCH('1. Annahmen'!E14,Technical!B115:B117,0),2)</f>
        <v>1334666.6666666667</v>
      </c>
      <c r="D7" s="582"/>
      <c r="E7" s="374"/>
      <c r="F7" s="589" t="s">
        <v>633</v>
      </c>
      <c r="G7" s="590"/>
      <c r="H7" s="590"/>
      <c r="I7" s="590"/>
      <c r="J7" s="590"/>
      <c r="K7" s="590"/>
      <c r="L7" s="590"/>
      <c r="M7" s="591"/>
      <c r="N7" s="590" t="s">
        <v>641</v>
      </c>
      <c r="O7" s="590"/>
      <c r="P7" s="590"/>
      <c r="Q7" s="590"/>
      <c r="R7" s="590"/>
      <c r="S7" s="592"/>
      <c r="T7" s="374"/>
    </row>
    <row r="8" spans="1:21" ht="5.0999999999999996" customHeight="1" x14ac:dyDescent="0.25">
      <c r="A8" s="374"/>
      <c r="B8" s="587"/>
      <c r="C8" s="374"/>
      <c r="D8" s="582"/>
      <c r="E8" s="374"/>
      <c r="F8" s="593"/>
      <c r="G8" s="559"/>
      <c r="H8" s="559"/>
      <c r="I8" s="559"/>
      <c r="J8" s="559"/>
      <c r="K8" s="559"/>
      <c r="L8" s="559"/>
      <c r="M8" s="594"/>
      <c r="N8" s="559"/>
      <c r="O8" s="559"/>
      <c r="P8" s="559"/>
      <c r="Q8" s="559"/>
      <c r="R8" s="559"/>
      <c r="S8" s="595"/>
      <c r="T8" s="374"/>
    </row>
    <row r="9" spans="1:21" ht="26.25" customHeight="1" x14ac:dyDescent="0.35">
      <c r="A9" s="374"/>
      <c r="B9" s="587"/>
      <c r="C9" s="596">
        <f ca="1">+'1. Annahmen'!E18</f>
        <v>46258</v>
      </c>
      <c r="D9" s="582"/>
      <c r="E9" s="597"/>
      <c r="F9" s="593"/>
      <c r="G9" s="559"/>
      <c r="H9" s="559"/>
      <c r="I9" s="559"/>
      <c r="J9" s="559"/>
      <c r="K9" s="559"/>
      <c r="L9" s="559"/>
      <c r="M9" s="594"/>
      <c r="N9" s="559"/>
      <c r="O9" s="559"/>
      <c r="P9" s="559"/>
      <c r="Q9" s="559"/>
      <c r="R9" s="559"/>
      <c r="S9" s="595"/>
      <c r="T9" s="374"/>
    </row>
    <row r="10" spans="1:21" ht="26.25" customHeight="1" x14ac:dyDescent="0.35">
      <c r="A10" s="374"/>
      <c r="B10" s="587"/>
      <c r="C10" s="598" t="s">
        <v>596</v>
      </c>
      <c r="D10" s="599"/>
      <c r="E10" s="597"/>
      <c r="F10" s="593"/>
      <c r="G10" s="559"/>
      <c r="H10" s="559"/>
      <c r="I10" s="559"/>
      <c r="J10" s="559"/>
      <c r="K10" s="559"/>
      <c r="L10" s="559"/>
      <c r="M10" s="594"/>
      <c r="N10" s="559"/>
      <c r="O10" s="559"/>
      <c r="P10" s="559"/>
      <c r="Q10" s="559"/>
      <c r="R10" s="559"/>
      <c r="S10" s="595"/>
      <c r="T10" s="374"/>
    </row>
    <row r="11" spans="1:21" ht="26.25" customHeight="1" x14ac:dyDescent="0.35">
      <c r="A11" s="374"/>
      <c r="B11" s="587"/>
      <c r="C11" s="600">
        <f>+G31*INDEX(Technical!B115:C117,MATCH('1. Annahmen'!E14,Technical!B115:B117,0),2)</f>
        <v>1681469.8162729663</v>
      </c>
      <c r="D11" s="599"/>
      <c r="E11" s="597"/>
      <c r="F11" s="593"/>
      <c r="G11" s="559"/>
      <c r="H11" s="559"/>
      <c r="I11" s="559"/>
      <c r="J11" s="559"/>
      <c r="K11" s="559"/>
      <c r="L11" s="559"/>
      <c r="M11" s="594"/>
      <c r="N11" s="559"/>
      <c r="O11" s="559"/>
      <c r="P11" s="559"/>
      <c r="Q11" s="559"/>
      <c r="R11" s="559"/>
      <c r="S11" s="595"/>
      <c r="T11" s="374"/>
    </row>
    <row r="12" spans="1:21" ht="26.25" customHeight="1" x14ac:dyDescent="0.35">
      <c r="A12" s="374"/>
      <c r="B12" s="587"/>
      <c r="C12" s="598">
        <f ca="1">+C9</f>
        <v>46258</v>
      </c>
      <c r="D12" s="599"/>
      <c r="E12" s="597"/>
      <c r="F12" s="593"/>
      <c r="G12" s="559"/>
      <c r="H12" s="559"/>
      <c r="I12" s="559"/>
      <c r="J12" s="559"/>
      <c r="K12" s="559"/>
      <c r="L12" s="559"/>
      <c r="M12" s="594"/>
      <c r="N12" s="559"/>
      <c r="O12" s="559"/>
      <c r="P12" s="559"/>
      <c r="Q12" s="559"/>
      <c r="R12" s="559"/>
      <c r="S12" s="595"/>
      <c r="T12" s="374"/>
    </row>
    <row r="13" spans="1:21" ht="57.95" customHeight="1" x14ac:dyDescent="0.35">
      <c r="A13" s="374"/>
      <c r="B13" s="587"/>
      <c r="C13" s="601" t="s">
        <v>627</v>
      </c>
      <c r="D13" s="599"/>
      <c r="E13" s="597"/>
      <c r="F13" s="602"/>
      <c r="G13" s="603"/>
      <c r="H13" s="603"/>
      <c r="I13" s="603"/>
      <c r="J13" s="603"/>
      <c r="K13" s="603"/>
      <c r="L13" s="603"/>
      <c r="M13" s="604"/>
      <c r="N13" s="603"/>
      <c r="O13" s="603"/>
      <c r="P13" s="603"/>
      <c r="Q13" s="603"/>
      <c r="R13" s="603"/>
      <c r="S13" s="605"/>
      <c r="T13" s="374"/>
    </row>
    <row r="14" spans="1:21" ht="5.0999999999999996" customHeight="1" x14ac:dyDescent="0.35">
      <c r="A14" s="374"/>
      <c r="B14" s="587"/>
      <c r="C14" s="606"/>
      <c r="D14" s="599"/>
      <c r="E14" s="597"/>
      <c r="F14" s="607"/>
      <c r="G14" s="607"/>
      <c r="H14" s="607"/>
      <c r="I14" s="607"/>
      <c r="J14" s="607"/>
      <c r="K14" s="607"/>
      <c r="L14" s="607"/>
      <c r="M14" s="608"/>
      <c r="N14" s="608"/>
      <c r="O14" s="608"/>
      <c r="P14" s="608"/>
      <c r="Q14" s="608"/>
      <c r="R14" s="608"/>
      <c r="S14" s="374"/>
      <c r="T14" s="374"/>
    </row>
    <row r="15" spans="1:21" ht="5.0999999999999996" customHeight="1" x14ac:dyDescent="0.4">
      <c r="A15" s="374"/>
      <c r="B15" s="584"/>
      <c r="C15" s="609"/>
      <c r="D15" s="610"/>
      <c r="E15" s="611"/>
      <c r="F15" s="611"/>
      <c r="G15" s="612"/>
      <c r="H15" s="611"/>
      <c r="I15" s="383"/>
      <c r="J15" s="383"/>
      <c r="K15" s="383"/>
      <c r="L15" s="383"/>
      <c r="M15" s="383"/>
      <c r="N15" s="383"/>
      <c r="O15" s="383"/>
      <c r="P15" s="383"/>
      <c r="Q15" s="383"/>
      <c r="R15" s="383"/>
      <c r="S15" s="383"/>
      <c r="T15" s="383"/>
      <c r="U15" s="210"/>
    </row>
    <row r="16" spans="1:21" ht="5.0999999999999996" customHeight="1" x14ac:dyDescent="0.4">
      <c r="A16" s="374"/>
      <c r="B16" s="584"/>
      <c r="C16" s="609"/>
      <c r="D16" s="610"/>
      <c r="E16" s="611"/>
      <c r="F16" s="611"/>
      <c r="G16" s="612"/>
      <c r="H16" s="611"/>
      <c r="I16" s="383"/>
      <c r="J16" s="383"/>
      <c r="K16" s="383"/>
      <c r="L16" s="383"/>
      <c r="M16" s="383"/>
      <c r="N16" s="383"/>
      <c r="O16" s="383"/>
      <c r="P16" s="383"/>
      <c r="Q16" s="383"/>
      <c r="R16" s="383"/>
      <c r="S16" s="383"/>
      <c r="T16" s="383"/>
      <c r="U16" s="210"/>
    </row>
    <row r="17" spans="1:20" x14ac:dyDescent="0.25">
      <c r="A17" s="374"/>
      <c r="B17" s="374"/>
      <c r="C17" s="374"/>
      <c r="D17" s="582"/>
      <c r="E17" s="374"/>
      <c r="F17" s="374"/>
      <c r="G17" s="586"/>
      <c r="H17" s="374"/>
      <c r="I17" s="374"/>
      <c r="J17" s="374"/>
      <c r="K17" s="374"/>
      <c r="L17" s="374"/>
      <c r="M17" s="374"/>
      <c r="N17" s="374"/>
      <c r="O17" s="374"/>
      <c r="P17" s="374"/>
      <c r="Q17" s="374"/>
      <c r="R17" s="374"/>
      <c r="S17" s="374"/>
      <c r="T17" s="374"/>
    </row>
    <row r="18" spans="1:20" x14ac:dyDescent="0.25">
      <c r="A18" s="374"/>
      <c r="B18" s="374"/>
      <c r="C18" s="374"/>
      <c r="D18" s="582"/>
      <c r="E18" s="374"/>
      <c r="F18" s="374"/>
      <c r="G18" s="374"/>
      <c r="H18" s="374"/>
      <c r="I18" s="374"/>
      <c r="J18" s="374"/>
      <c r="K18" s="374"/>
      <c r="L18" s="374"/>
      <c r="M18" s="374"/>
      <c r="N18" s="374"/>
      <c r="O18" s="374"/>
      <c r="P18" s="374"/>
      <c r="Q18" s="374"/>
      <c r="R18" s="374"/>
      <c r="S18" s="374"/>
      <c r="T18" s="374"/>
    </row>
    <row r="19" spans="1:20" s="3" customFormat="1" ht="27" thickBot="1" x14ac:dyDescent="0.45">
      <c r="A19" s="375" t="s">
        <v>414</v>
      </c>
      <c r="B19" s="375"/>
      <c r="C19" s="375"/>
      <c r="D19" s="583"/>
      <c r="E19" s="375"/>
      <c r="F19" s="375"/>
      <c r="G19" s="375"/>
      <c r="H19" s="375"/>
      <c r="I19" s="375"/>
      <c r="J19" s="375"/>
      <c r="K19" s="375"/>
      <c r="L19" s="375"/>
      <c r="M19" s="375"/>
      <c r="N19" s="375"/>
      <c r="O19" s="375"/>
      <c r="P19" s="375"/>
      <c r="Q19" s="375"/>
      <c r="R19" s="375"/>
      <c r="S19" s="375"/>
      <c r="T19" s="375"/>
    </row>
    <row r="20" spans="1:20" x14ac:dyDescent="0.25">
      <c r="A20" s="374"/>
      <c r="B20" s="374"/>
      <c r="C20" s="374"/>
      <c r="D20" s="582"/>
      <c r="E20" s="374"/>
      <c r="F20" s="374"/>
      <c r="G20" s="374"/>
      <c r="H20" s="374"/>
      <c r="I20" s="374"/>
      <c r="J20" s="374"/>
      <c r="K20" s="374"/>
      <c r="L20" s="374"/>
      <c r="M20" s="374"/>
      <c r="N20" s="374"/>
      <c r="O20" s="374"/>
      <c r="P20" s="374"/>
      <c r="Q20" s="374"/>
      <c r="R20" s="374"/>
      <c r="S20" s="374"/>
      <c r="T20" s="374"/>
    </row>
    <row r="21" spans="1:20" x14ac:dyDescent="0.25">
      <c r="A21" s="374"/>
      <c r="B21" s="374"/>
      <c r="C21" s="374" t="s">
        <v>381</v>
      </c>
      <c r="D21" s="582" t="str">
        <f>+"in "&amp;'1. Annahmen'!$E$14</f>
        <v>in Tsd. €</v>
      </c>
      <c r="E21" s="374"/>
      <c r="F21" s="374"/>
      <c r="G21" s="547">
        <f>+'2. Vereinfachtes_EWV'!J82</f>
        <v>97.066666666666677</v>
      </c>
      <c r="H21" s="374"/>
      <c r="I21" s="374"/>
      <c r="J21" s="374"/>
      <c r="K21" s="374"/>
      <c r="L21" s="374"/>
      <c r="M21" s="374"/>
      <c r="N21" s="374"/>
      <c r="O21" s="374"/>
      <c r="P21" s="374"/>
      <c r="Q21" s="374"/>
      <c r="R21" s="374"/>
      <c r="S21" s="374"/>
      <c r="T21" s="374"/>
    </row>
    <row r="22" spans="1:20" x14ac:dyDescent="0.25">
      <c r="A22" s="374"/>
      <c r="B22" s="374"/>
      <c r="C22" s="374" t="s">
        <v>399</v>
      </c>
      <c r="D22" s="582" t="s">
        <v>289</v>
      </c>
      <c r="E22" s="374"/>
      <c r="F22" s="374"/>
      <c r="G22" s="613">
        <f>+'2. Vereinfachtes_EWV'!J121/'2. Vereinfachtes_EWV'!J82</f>
        <v>13.75</v>
      </c>
      <c r="H22" s="374"/>
      <c r="I22" s="374"/>
      <c r="J22" s="374"/>
      <c r="K22" s="374"/>
      <c r="L22" s="374"/>
      <c r="M22" s="374"/>
      <c r="N22" s="374"/>
      <c r="O22" s="374"/>
      <c r="P22" s="374"/>
      <c r="Q22" s="374"/>
      <c r="R22" s="374"/>
      <c r="S22" s="374"/>
      <c r="T22" s="374"/>
    </row>
    <row r="23" spans="1:20" x14ac:dyDescent="0.25">
      <c r="A23" s="374"/>
      <c r="B23" s="374"/>
      <c r="C23" s="374"/>
      <c r="D23" s="582"/>
      <c r="E23" s="374"/>
      <c r="F23" s="374"/>
      <c r="G23" s="411"/>
      <c r="H23" s="374"/>
      <c r="I23" s="374"/>
      <c r="J23" s="374"/>
      <c r="K23" s="374"/>
      <c r="L23" s="374"/>
      <c r="M23" s="374"/>
      <c r="N23" s="374"/>
      <c r="O23" s="374"/>
      <c r="P23" s="374"/>
      <c r="Q23" s="374"/>
      <c r="R23" s="374"/>
      <c r="S23" s="374"/>
      <c r="T23" s="374"/>
    </row>
    <row r="24" spans="1:20" x14ac:dyDescent="0.25">
      <c r="A24" s="374"/>
      <c r="B24" s="374"/>
      <c r="C24" s="374" t="s">
        <v>503</v>
      </c>
      <c r="D24" s="582" t="s">
        <v>41</v>
      </c>
      <c r="E24" s="374"/>
      <c r="F24" s="374"/>
      <c r="G24" s="391">
        <f>+'1. Annahmen'!E30</f>
        <v>7.2727272727272724E-2</v>
      </c>
      <c r="H24" s="374"/>
      <c r="I24" s="374"/>
      <c r="J24" s="374"/>
      <c r="K24" s="374"/>
      <c r="L24" s="374"/>
      <c r="M24" s="374"/>
      <c r="N24" s="374"/>
      <c r="O24" s="374"/>
      <c r="P24" s="374"/>
      <c r="Q24" s="374"/>
      <c r="R24" s="374"/>
      <c r="S24" s="374"/>
      <c r="T24" s="374"/>
    </row>
    <row r="25" spans="1:20" x14ac:dyDescent="0.25">
      <c r="A25" s="374"/>
      <c r="B25" s="374"/>
      <c r="C25" s="374"/>
      <c r="D25" s="582"/>
      <c r="E25" s="374"/>
      <c r="F25" s="374"/>
      <c r="G25" s="391"/>
      <c r="H25" s="374"/>
      <c r="I25" s="374"/>
      <c r="J25" s="374"/>
      <c r="K25" s="374"/>
      <c r="L25" s="374"/>
      <c r="M25" s="374"/>
      <c r="N25" s="374"/>
      <c r="O25" s="374"/>
      <c r="P25" s="374"/>
      <c r="Q25" s="374"/>
      <c r="R25" s="374"/>
      <c r="S25" s="374"/>
      <c r="T25" s="374"/>
    </row>
    <row r="26" spans="1:20" x14ac:dyDescent="0.25">
      <c r="A26" s="374"/>
      <c r="B26" s="374"/>
      <c r="C26" s="374"/>
      <c r="D26" s="582"/>
      <c r="E26" s="374"/>
      <c r="F26" s="374"/>
      <c r="G26" s="391"/>
      <c r="H26" s="374"/>
      <c r="I26" s="374"/>
      <c r="J26" s="374"/>
      <c r="K26" s="374"/>
      <c r="L26" s="374"/>
      <c r="M26" s="374"/>
      <c r="N26" s="374"/>
      <c r="O26" s="374"/>
      <c r="P26" s="374"/>
      <c r="Q26" s="374"/>
      <c r="R26" s="374"/>
      <c r="S26" s="374"/>
      <c r="T26" s="374"/>
    </row>
    <row r="27" spans="1:20" s="3" customFormat="1" ht="27" thickBot="1" x14ac:dyDescent="0.45">
      <c r="A27" s="375" t="s">
        <v>415</v>
      </c>
      <c r="B27" s="375"/>
      <c r="C27" s="375"/>
      <c r="D27" s="583"/>
      <c r="E27" s="375"/>
      <c r="F27" s="375"/>
      <c r="G27" s="375"/>
      <c r="H27" s="375"/>
      <c r="I27" s="375"/>
      <c r="J27" s="375"/>
      <c r="K27" s="375"/>
      <c r="L27" s="375"/>
      <c r="M27" s="375"/>
      <c r="N27" s="375"/>
      <c r="O27" s="375"/>
      <c r="P27" s="375"/>
      <c r="Q27" s="375"/>
      <c r="R27" s="375"/>
      <c r="S27" s="375"/>
      <c r="T27" s="375"/>
    </row>
    <row r="28" spans="1:20" x14ac:dyDescent="0.25">
      <c r="A28" s="374"/>
      <c r="B28" s="374"/>
      <c r="C28" s="374"/>
      <c r="D28" s="582"/>
      <c r="E28" s="374"/>
      <c r="G28" s="115"/>
    </row>
    <row r="29" spans="1:20" ht="23.25" x14ac:dyDescent="0.35">
      <c r="A29" s="374"/>
      <c r="B29" s="374"/>
      <c r="C29" s="614" t="s">
        <v>411</v>
      </c>
      <c r="D29" s="582"/>
      <c r="E29" s="374"/>
      <c r="G29" s="115"/>
    </row>
    <row r="30" spans="1:20" x14ac:dyDescent="0.25">
      <c r="A30" s="374"/>
      <c r="B30" s="374"/>
      <c r="C30" s="374" t="s">
        <v>312</v>
      </c>
      <c r="D30" s="582" t="s">
        <v>289</v>
      </c>
      <c r="E30" s="374"/>
      <c r="G30" s="372">
        <v>1.4999999999999999E-2</v>
      </c>
    </row>
    <row r="31" spans="1:20" x14ac:dyDescent="0.25">
      <c r="A31" s="374"/>
      <c r="B31" s="374"/>
      <c r="C31" s="374" t="s">
        <v>408</v>
      </c>
      <c r="D31" s="582" t="str">
        <f>+"in "&amp;'1. Annahmen'!$E$14</f>
        <v>in Tsd. €</v>
      </c>
      <c r="E31" s="374"/>
      <c r="G31" s="547">
        <f>+('2. Vereinfachtes_EWV'!J82/('3. Management Summary'!G24-'3. Management Summary'!G30))+'2. Vereinfachtes_EWV'!J99+'2. Vereinfachtes_EWV'!J107+'2. Vereinfachtes_EWV'!J115</f>
        <v>1681.4698162729662</v>
      </c>
    </row>
    <row r="32" spans="1:20" x14ac:dyDescent="0.25">
      <c r="A32" s="374"/>
      <c r="B32" s="374"/>
      <c r="C32" s="374"/>
      <c r="D32" s="582"/>
      <c r="E32" s="374"/>
      <c r="G32" s="85"/>
    </row>
    <row r="33" spans="1:25" x14ac:dyDescent="0.25">
      <c r="A33" s="374"/>
      <c r="B33" s="374"/>
      <c r="C33" s="374"/>
      <c r="D33" s="582"/>
      <c r="E33" s="374"/>
      <c r="G33" s="85"/>
    </row>
    <row r="34" spans="1:25" x14ac:dyDescent="0.25">
      <c r="A34" s="374"/>
      <c r="B34" s="374"/>
      <c r="C34" s="374"/>
      <c r="D34" s="582"/>
      <c r="E34" s="374"/>
      <c r="G34" s="547"/>
      <c r="H34" s="374"/>
      <c r="I34" s="374"/>
      <c r="J34" s="374"/>
      <c r="K34" s="374"/>
      <c r="L34" s="374"/>
      <c r="M34" s="374"/>
      <c r="N34" s="374"/>
      <c r="O34" s="374"/>
    </row>
    <row r="35" spans="1:25" ht="15" customHeight="1" x14ac:dyDescent="0.25">
      <c r="A35" s="374"/>
      <c r="B35" s="374"/>
      <c r="C35" s="374"/>
      <c r="D35" s="582"/>
      <c r="E35" s="374"/>
      <c r="G35" s="374"/>
      <c r="H35" s="615" t="s">
        <v>305</v>
      </c>
      <c r="I35" s="615"/>
      <c r="J35" s="615"/>
      <c r="K35" s="615"/>
      <c r="L35" s="615"/>
      <c r="M35" s="615"/>
      <c r="N35" s="374"/>
      <c r="O35" s="374"/>
    </row>
    <row r="36" spans="1:25" x14ac:dyDescent="0.25">
      <c r="A36" s="374"/>
      <c r="B36" s="374"/>
      <c r="C36" s="374"/>
      <c r="D36" s="582"/>
      <c r="E36" s="374"/>
      <c r="G36" s="374"/>
      <c r="H36" s="616"/>
      <c r="I36" s="616"/>
      <c r="J36" s="616"/>
      <c r="K36" s="616"/>
      <c r="L36" s="616"/>
      <c r="M36" s="616"/>
      <c r="N36" s="374"/>
      <c r="O36" s="374"/>
    </row>
    <row r="37" spans="1:25" x14ac:dyDescent="0.25">
      <c r="A37" s="374"/>
      <c r="B37" s="374"/>
      <c r="C37" s="374"/>
      <c r="D37" s="582"/>
      <c r="E37" s="374"/>
      <c r="G37" s="374"/>
      <c r="H37" s="617">
        <f>+G31</f>
        <v>1681.4698162729662</v>
      </c>
      <c r="I37" s="618">
        <f>+J37-0.5%</f>
        <v>0</v>
      </c>
      <c r="J37" s="618">
        <f>+K37-0.5%</f>
        <v>5.0000000000000001E-3</v>
      </c>
      <c r="K37" s="618">
        <v>0.01</v>
      </c>
      <c r="L37" s="618">
        <f>+K37+0.5%</f>
        <v>1.4999999999999999E-2</v>
      </c>
      <c r="M37" s="619">
        <f>+L37+0.5%</f>
        <v>0.02</v>
      </c>
      <c r="N37" s="374"/>
      <c r="O37" s="374"/>
    </row>
    <row r="38" spans="1:25" x14ac:dyDescent="0.25">
      <c r="A38" s="374"/>
      <c r="B38" s="374"/>
      <c r="C38" s="374"/>
      <c r="D38" s="582"/>
      <c r="E38" s="374"/>
      <c r="G38" s="374"/>
      <c r="H38" s="620">
        <f>+G24</f>
        <v>7.2727272727272724E-2</v>
      </c>
      <c r="I38" s="621">
        <f t="dataTable" ref="I38:M42" dt2D="1" dtr="1" r1="G30" r2="G24" ca="1"/>
        <v>1334.666666666667</v>
      </c>
      <c r="J38" s="622">
        <v>1433.1991051454143</v>
      </c>
      <c r="K38" s="622">
        <v>1547.4396135265702</v>
      </c>
      <c r="L38" s="622">
        <v>1681.4698162729662</v>
      </c>
      <c r="M38" s="623">
        <v>1840.9195402298856</v>
      </c>
      <c r="N38" s="374"/>
      <c r="O38" s="374"/>
      <c r="W38" s="61">
        <f>+MIN(I38:M38)</f>
        <v>1334.666666666667</v>
      </c>
      <c r="X38" s="61">
        <f>+MAX(I38:M38)</f>
        <v>1840.9195402298856</v>
      </c>
      <c r="Y38" s="61">
        <f>+X38-W38</f>
        <v>506.2528735632186</v>
      </c>
    </row>
    <row r="39" spans="1:25" x14ac:dyDescent="0.25">
      <c r="A39" s="374"/>
      <c r="B39" s="374"/>
      <c r="C39" s="374"/>
      <c r="D39" s="582"/>
      <c r="E39" s="374"/>
      <c r="G39" s="374"/>
      <c r="H39" s="624">
        <f>+H38+1%</f>
        <v>8.2727272727272719E-2</v>
      </c>
      <c r="I39" s="621">
        <v>1173.3333333333335</v>
      </c>
      <c r="J39" s="622">
        <v>1248.8109161793375</v>
      </c>
      <c r="K39" s="622">
        <v>1334.666666666667</v>
      </c>
      <c r="L39" s="622">
        <v>1433.1991051454143</v>
      </c>
      <c r="M39" s="623">
        <v>1547.4396135265706</v>
      </c>
      <c r="N39" s="374"/>
      <c r="O39" s="374"/>
      <c r="W39" s="61">
        <f>+MIN(I39:M39)</f>
        <v>1173.3333333333335</v>
      </c>
      <c r="X39" s="61">
        <f>+MAX(I39:M39)</f>
        <v>1547.4396135265706</v>
      </c>
      <c r="Y39" s="61">
        <f>+X39-W39</f>
        <v>374.10628019323713</v>
      </c>
    </row>
    <row r="40" spans="1:25" x14ac:dyDescent="0.25">
      <c r="A40" s="374"/>
      <c r="B40" s="374"/>
      <c r="C40" s="374"/>
      <c r="D40" s="582"/>
      <c r="E40" s="374"/>
      <c r="G40" s="374"/>
      <c r="H40" s="624">
        <f>+H39+1%</f>
        <v>9.2727272727272714E-2</v>
      </c>
      <c r="I40" s="621">
        <v>944.89675516224213</v>
      </c>
      <c r="J40" s="622">
        <v>993.24031007751967</v>
      </c>
      <c r="K40" s="622">
        <v>1046.7973856209153</v>
      </c>
      <c r="L40" s="622">
        <v>1106.4594127806567</v>
      </c>
      <c r="M40" s="623">
        <v>1173.3333333333337</v>
      </c>
      <c r="N40" s="374"/>
      <c r="O40" s="374"/>
      <c r="W40" s="61">
        <f>+MIN(I40:M40)</f>
        <v>944.89675516224213</v>
      </c>
      <c r="X40" s="61">
        <f>+MAX(I40:M40)</f>
        <v>1173.3333333333337</v>
      </c>
      <c r="Y40" s="61">
        <f>+X40-W40</f>
        <v>228.43657817109158</v>
      </c>
    </row>
    <row r="41" spans="1:25" x14ac:dyDescent="0.25">
      <c r="A41" s="374"/>
      <c r="B41" s="374"/>
      <c r="C41" s="374"/>
      <c r="D41" s="582"/>
      <c r="E41" s="374"/>
      <c r="G41" s="374"/>
      <c r="H41" s="624">
        <f>+H40+1%</f>
        <v>0.10272727272727271</v>
      </c>
      <c r="I41" s="621">
        <v>731.32420091324229</v>
      </c>
      <c r="J41" s="622">
        <v>759.95255041518419</v>
      </c>
      <c r="K41" s="622">
        <v>790.91358024691385</v>
      </c>
      <c r="L41" s="622">
        <v>824.50450450450478</v>
      </c>
      <c r="M41" s="623">
        <v>861.07526881720469</v>
      </c>
      <c r="N41" s="374"/>
      <c r="O41" s="374"/>
      <c r="W41" s="61">
        <f>+MIN(I41:M41)</f>
        <v>731.32420091324229</v>
      </c>
      <c r="X41" s="61">
        <f>+MAX(I41:M41)</f>
        <v>861.07526881720469</v>
      </c>
      <c r="Y41" s="61">
        <f>+X41-W41</f>
        <v>129.75106790396239</v>
      </c>
    </row>
    <row r="42" spans="1:25" x14ac:dyDescent="0.25">
      <c r="A42" s="374"/>
      <c r="B42" s="374"/>
      <c r="C42" s="374"/>
      <c r="D42" s="582"/>
      <c r="E42" s="374"/>
      <c r="G42" s="374"/>
      <c r="H42" s="625">
        <f>+H41+1%</f>
        <v>0.1127272727272727</v>
      </c>
      <c r="I42" s="626">
        <v>561.96491228070181</v>
      </c>
      <c r="J42" s="627">
        <v>578.71725383920511</v>
      </c>
      <c r="K42" s="627">
        <v>596.49906890130364</v>
      </c>
      <c r="L42" s="627">
        <v>615.40826128722392</v>
      </c>
      <c r="M42" s="628">
        <v>635.55555555555554</v>
      </c>
      <c r="N42" s="374"/>
      <c r="O42" s="374"/>
      <c r="W42" s="61">
        <f>+MIN(I42:M42)</f>
        <v>561.96491228070181</v>
      </c>
      <c r="X42" s="61">
        <f>+MAX(I42:M42)</f>
        <v>635.55555555555554</v>
      </c>
      <c r="Y42" s="61">
        <f>+X42-W42</f>
        <v>73.590643274853733</v>
      </c>
    </row>
    <row r="43" spans="1:25" x14ac:dyDescent="0.25">
      <c r="A43" s="374"/>
      <c r="B43" s="374"/>
      <c r="C43" s="374"/>
      <c r="D43" s="582"/>
      <c r="E43" s="374"/>
      <c r="G43" s="374"/>
      <c r="H43" s="374"/>
      <c r="I43" s="374"/>
      <c r="J43" s="374"/>
      <c r="K43" s="374"/>
      <c r="L43" s="374"/>
      <c r="M43" s="374"/>
      <c r="N43" s="374"/>
      <c r="O43" s="374"/>
    </row>
    <row r="44" spans="1:25" x14ac:dyDescent="0.25">
      <c r="A44" s="374"/>
      <c r="B44" s="374"/>
      <c r="C44" s="374"/>
      <c r="D44" s="582"/>
      <c r="E44" s="374"/>
      <c r="G44" s="374"/>
      <c r="H44" s="374"/>
      <c r="I44" s="374"/>
      <c r="J44" s="374"/>
      <c r="K44" s="374"/>
      <c r="L44" s="374"/>
      <c r="M44" s="374"/>
      <c r="N44" s="374"/>
      <c r="O44" s="374"/>
    </row>
    <row r="45" spans="1:25" x14ac:dyDescent="0.25">
      <c r="A45" s="374"/>
      <c r="B45" s="374"/>
      <c r="C45" s="374"/>
      <c r="D45" s="582"/>
      <c r="E45" s="374"/>
      <c r="G45" s="374"/>
      <c r="H45" s="374"/>
      <c r="I45" s="374"/>
      <c r="J45" s="374"/>
      <c r="K45" s="374"/>
      <c r="L45" s="374"/>
      <c r="M45" s="374"/>
      <c r="N45" s="374"/>
      <c r="O45" s="374"/>
    </row>
    <row r="46" spans="1:25" x14ac:dyDescent="0.25">
      <c r="A46" s="374"/>
      <c r="B46" s="374"/>
      <c r="C46" s="374"/>
      <c r="D46" s="582"/>
      <c r="E46" s="374"/>
      <c r="G46" s="374"/>
      <c r="H46" s="374"/>
      <c r="I46" s="374"/>
      <c r="J46" s="374"/>
      <c r="K46" s="374"/>
      <c r="L46" s="374"/>
      <c r="M46" s="374"/>
      <c r="N46" s="374"/>
      <c r="O46" s="374"/>
    </row>
    <row r="47" spans="1:25" x14ac:dyDescent="0.25">
      <c r="A47" s="374"/>
      <c r="B47" s="374"/>
      <c r="C47" s="374"/>
      <c r="D47" s="582"/>
      <c r="E47" s="374"/>
      <c r="G47" s="374"/>
      <c r="H47" s="374"/>
      <c r="I47" s="374"/>
      <c r="J47" s="374"/>
      <c r="K47" s="374"/>
      <c r="L47" s="374"/>
      <c r="M47" s="374"/>
      <c r="N47" s="374"/>
      <c r="O47" s="374"/>
    </row>
    <row r="48" spans="1:25" x14ac:dyDescent="0.25">
      <c r="A48" s="374"/>
      <c r="B48" s="374"/>
      <c r="C48" s="374"/>
      <c r="D48" s="582"/>
      <c r="E48" s="374"/>
      <c r="G48" s="374"/>
      <c r="H48" s="374"/>
      <c r="I48" s="374"/>
      <c r="J48" s="374"/>
      <c r="K48" s="374"/>
      <c r="L48" s="374"/>
      <c r="M48" s="374"/>
      <c r="N48" s="374"/>
      <c r="O48" s="374"/>
    </row>
    <row r="49" spans="1:15" x14ac:dyDescent="0.25">
      <c r="A49" s="374"/>
      <c r="B49" s="374"/>
      <c r="C49" s="374"/>
      <c r="D49" s="582"/>
      <c r="E49" s="374"/>
      <c r="G49" s="374"/>
      <c r="H49" s="374"/>
      <c r="I49" s="374"/>
      <c r="J49" s="374"/>
      <c r="K49" s="374"/>
      <c r="L49" s="374"/>
      <c r="M49" s="374"/>
      <c r="N49" s="374"/>
      <c r="O49" s="374"/>
    </row>
    <row r="50" spans="1:15" x14ac:dyDescent="0.25">
      <c r="A50" s="374"/>
      <c r="B50" s="374"/>
      <c r="C50" s="374"/>
      <c r="D50" s="582"/>
      <c r="E50" s="374"/>
      <c r="G50" s="374"/>
      <c r="H50" s="374"/>
      <c r="I50" s="374"/>
      <c r="J50" s="374"/>
      <c r="K50" s="374"/>
      <c r="L50" s="374"/>
      <c r="M50" s="374"/>
      <c r="N50" s="374"/>
      <c r="O50" s="374"/>
    </row>
    <row r="51" spans="1:15" x14ac:dyDescent="0.25">
      <c r="A51" s="374"/>
      <c r="B51" s="374"/>
      <c r="C51" s="374"/>
      <c r="D51" s="582"/>
      <c r="E51" s="374"/>
    </row>
    <row r="52" spans="1:15" x14ac:dyDescent="0.25">
      <c r="A52" s="374"/>
      <c r="B52" s="374"/>
      <c r="C52" s="374"/>
      <c r="D52" s="582"/>
      <c r="E52" s="374"/>
    </row>
    <row r="53" spans="1:15" hidden="1" x14ac:dyDescent="0.25">
      <c r="A53" s="374"/>
      <c r="B53" s="374"/>
      <c r="C53" s="374"/>
      <c r="D53" s="582"/>
      <c r="E53" s="374"/>
    </row>
    <row r="54" spans="1:15" hidden="1" x14ac:dyDescent="0.25">
      <c r="A54" s="374"/>
      <c r="B54" s="374"/>
      <c r="C54" s="374"/>
      <c r="D54" s="582"/>
      <c r="E54" s="374"/>
    </row>
    <row r="55" spans="1:15" hidden="1" x14ac:dyDescent="0.25">
      <c r="A55" s="374"/>
      <c r="B55" s="374"/>
      <c r="C55" s="374"/>
      <c r="D55" s="582"/>
      <c r="E55" s="374"/>
    </row>
    <row r="56" spans="1:15" s="3" customFormat="1" ht="27" thickBot="1" x14ac:dyDescent="0.45">
      <c r="A56" s="375" t="s">
        <v>628</v>
      </c>
      <c r="B56" s="375"/>
      <c r="C56" s="375"/>
      <c r="D56" s="583"/>
      <c r="E56" s="375"/>
    </row>
    <row r="57" spans="1:15" x14ac:dyDescent="0.25">
      <c r="A57" s="374"/>
      <c r="B57" s="374"/>
      <c r="C57" s="374"/>
      <c r="D57" s="374"/>
      <c r="E57" s="374"/>
    </row>
    <row r="58" spans="1:15" ht="23.25" x14ac:dyDescent="0.35">
      <c r="A58" s="374"/>
      <c r="B58" s="374"/>
      <c r="C58" s="629" t="s">
        <v>629</v>
      </c>
      <c r="D58" s="582"/>
      <c r="E58" s="374"/>
      <c r="F58" s="374"/>
      <c r="G58" s="374"/>
    </row>
    <row r="59" spans="1:15" ht="24" x14ac:dyDescent="0.4">
      <c r="C59" s="722" t="s">
        <v>630</v>
      </c>
    </row>
    <row r="60" spans="1:15" x14ac:dyDescent="0.25">
      <c r="C60" s="261"/>
    </row>
    <row r="61" spans="1:15" x14ac:dyDescent="0.25">
      <c r="B61" s="374"/>
      <c r="C61" s="374" t="s">
        <v>634</v>
      </c>
    </row>
    <row r="62" spans="1:15" ht="16.5" x14ac:dyDescent="0.25">
      <c r="B62" s="300"/>
      <c r="C62" s="723" t="s">
        <v>631</v>
      </c>
    </row>
    <row r="63" spans="1:15" x14ac:dyDescent="0.25">
      <c r="C63" s="261"/>
    </row>
    <row r="64" spans="1:15" x14ac:dyDescent="0.25">
      <c r="A64" s="374"/>
      <c r="B64" s="374"/>
      <c r="C64" s="374" t="s">
        <v>635</v>
      </c>
    </row>
    <row r="65" spans="1:3" x14ac:dyDescent="0.25">
      <c r="C65" s="723" t="s">
        <v>632</v>
      </c>
    </row>
    <row r="66" spans="1:3" x14ac:dyDescent="0.25">
      <c r="C66" s="261"/>
    </row>
    <row r="67" spans="1:3" s="197" customFormat="1" ht="15" customHeight="1" x14ac:dyDescent="0.25">
      <c r="A67" s="197" t="s">
        <v>410</v>
      </c>
    </row>
  </sheetData>
  <sheetProtection algorithmName="SHA-512" hashValue="ly70SEJ1JsB/GCo+RGhV7/fVglywuttrnq8PeSecW+Q344arVdjaQDPtCZjgttYsoYiy2E7vWUPnHSRswppEIg==" saltValue="P1Lw8xIy6N9IAZnG6+X7UQ==" spinCount="100000" sheet="1" objects="1" scenarios="1"/>
  <mergeCells count="4">
    <mergeCell ref="H35:M36"/>
    <mergeCell ref="F7:L13"/>
    <mergeCell ref="N7:S13"/>
    <mergeCell ref="B7:B14"/>
  </mergeCells>
  <conditionalFormatting sqref="I38:M42">
    <cfRule type="cellIs" dxfId="55" priority="1" operator="equal">
      <formula>$G$31</formula>
    </cfRule>
  </conditionalFormatting>
  <dataValidations count="1">
    <dataValidation type="list" allowBlank="1" showInputMessage="1" showErrorMessage="1" sqref="G30" xr:uid="{AC3CCDCB-22AF-4C57-B98F-963E76CCA34D}">
      <formula1>"0%,0,5%,1,0%,1,5%,2,0%,2,5%"</formula1>
    </dataValidation>
  </dataValidations>
  <hyperlinks>
    <hyperlink ref="C59" location="'1. Datencheck'!A1" display="👉 Zum Datencheck" xr:uid="{6840A535-426F-48A7-AF53-F86175A72B4D}"/>
    <hyperlink ref="C62" r:id="rId1" xr:uid="{1B444173-2C18-44BE-AEF2-3DB17E28A9FC}"/>
    <hyperlink ref="C65" r:id="rId2" xr:uid="{186E0B71-CE34-490A-AA68-5BD512AF6B5B}"/>
  </hyperlinks>
  <pageMargins left="0.70866141732283472" right="0.70866141732283472" top="0.78740157480314965" bottom="0.78740157480314965" header="0.31496062992125984" footer="0.31496062992125984"/>
  <pageSetup paperSize="9" scale="39" orientation="landscape" r:id="rId3"/>
  <headerFooter>
    <oddFooter>&amp;LVersion 1.0 | &amp;D&amp;C&amp;"-,Fett"Streng Vertraulich. &amp;"-,Standard"
&amp;8Ausschließlich zu Informationszwecken. Es wird keine Gewähr oder Haftung für Vollständigkeit, Richtigkeit oder aus der Nutzung des Modells abgeleitete Entscheidungen übernommen. &amp;R&amp;P</oddFooter>
  </headerFooter>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327A7-1DA9-409A-B3FA-41E8BEE7D24A}">
  <sheetPr>
    <tabColor rgb="FF0047AB"/>
  </sheetPr>
  <dimension ref="A1:S38"/>
  <sheetViews>
    <sheetView showGridLines="0" workbookViewId="0">
      <selection sqref="A1:M1"/>
    </sheetView>
  </sheetViews>
  <sheetFormatPr baseColWidth="10" defaultColWidth="0" defaultRowHeight="15" customHeight="1" zeroHeight="1" x14ac:dyDescent="0.25"/>
  <cols>
    <col min="1" max="1" width="5.7109375" style="374" customWidth="1"/>
    <col min="2" max="2" width="30.7109375" style="374" customWidth="1"/>
    <col min="3" max="11" width="14.7109375" style="374" customWidth="1"/>
    <col min="12" max="13" width="11.42578125" style="374" customWidth="1"/>
    <col min="14" max="14" width="2.28515625" style="569" customWidth="1"/>
    <col min="15" max="15" width="2.28515625" style="374" customWidth="1"/>
    <col min="16" max="19" width="0" style="374" hidden="1" customWidth="1"/>
    <col min="20" max="16384" width="11.42578125" style="374" hidden="1"/>
  </cols>
  <sheetData>
    <row r="1" spans="1:15" x14ac:dyDescent="0.25">
      <c r="A1" s="568" t="s">
        <v>659</v>
      </c>
      <c r="B1" s="568"/>
      <c r="C1" s="568"/>
      <c r="D1" s="568"/>
      <c r="E1" s="568"/>
      <c r="F1" s="568"/>
      <c r="G1" s="568"/>
      <c r="H1" s="568"/>
      <c r="I1" s="568"/>
      <c r="J1" s="568"/>
      <c r="K1" s="568"/>
      <c r="L1" s="568"/>
      <c r="M1" s="568"/>
      <c r="O1" s="570"/>
    </row>
    <row r="2" spans="1:15" x14ac:dyDescent="0.25">
      <c r="A2" s="471"/>
      <c r="B2" s="471"/>
      <c r="C2" s="471"/>
      <c r="D2" s="471"/>
      <c r="E2" s="471"/>
      <c r="F2" s="471"/>
      <c r="G2" s="471"/>
      <c r="H2" s="471"/>
      <c r="I2" s="471"/>
      <c r="J2" s="471"/>
      <c r="K2" s="471"/>
      <c r="L2" s="471"/>
      <c r="M2" s="471"/>
      <c r="O2" s="570"/>
    </row>
    <row r="3" spans="1:15" x14ac:dyDescent="0.25">
      <c r="A3" s="471"/>
      <c r="B3" s="571" t="s">
        <v>344</v>
      </c>
      <c r="C3" s="471"/>
      <c r="D3" s="471"/>
      <c r="E3" s="471"/>
      <c r="F3" s="471"/>
      <c r="G3" s="471"/>
      <c r="H3" s="471"/>
      <c r="I3" s="471"/>
      <c r="J3" s="471"/>
      <c r="K3" s="471"/>
      <c r="L3" s="471"/>
      <c r="M3" s="471"/>
      <c r="O3" s="570"/>
    </row>
    <row r="4" spans="1:15" ht="31.5" x14ac:dyDescent="0.5">
      <c r="A4" s="471"/>
      <c r="B4" s="572" t="s">
        <v>646</v>
      </c>
      <c r="C4" s="471"/>
      <c r="D4" s="471"/>
      <c r="E4" s="471"/>
      <c r="F4" s="471"/>
      <c r="G4" s="471"/>
      <c r="H4" s="471"/>
      <c r="I4" s="471"/>
      <c r="J4" s="471"/>
      <c r="K4" s="471"/>
      <c r="L4" s="471"/>
      <c r="M4" s="471"/>
      <c r="O4" s="570"/>
    </row>
    <row r="5" spans="1:15" x14ac:dyDescent="0.25">
      <c r="A5" s="471"/>
      <c r="B5" s="471"/>
      <c r="C5" s="471"/>
      <c r="D5" s="471"/>
      <c r="E5" s="471"/>
      <c r="F5" s="471"/>
      <c r="G5" s="471"/>
      <c r="H5" s="471"/>
      <c r="I5" s="471"/>
      <c r="J5" s="471"/>
      <c r="K5" s="471"/>
      <c r="L5" s="471"/>
      <c r="M5" s="471"/>
      <c r="O5" s="570"/>
    </row>
    <row r="6" spans="1:15" x14ac:dyDescent="0.25">
      <c r="A6" s="471"/>
      <c r="B6" s="573" t="str">
        <f ca="1">"Stand, "&amp;TEXT(TODAY(),"tt.MM.JJJJ")</f>
        <v>Stand, 24.08.2026</v>
      </c>
      <c r="C6" s="471"/>
      <c r="D6" s="471"/>
      <c r="E6" s="471"/>
      <c r="F6" s="471"/>
      <c r="G6" s="471"/>
      <c r="H6" s="471"/>
      <c r="I6" s="471"/>
      <c r="J6" s="471"/>
      <c r="K6" s="471"/>
      <c r="L6" s="471"/>
      <c r="M6" s="471"/>
      <c r="O6" s="570"/>
    </row>
    <row r="7" spans="1:15" x14ac:dyDescent="0.25">
      <c r="A7" s="471"/>
      <c r="B7" s="471"/>
      <c r="C7" s="471"/>
      <c r="D7" s="471"/>
      <c r="E7" s="471"/>
      <c r="F7" s="471"/>
      <c r="G7" s="471"/>
      <c r="H7" s="471"/>
      <c r="I7" s="471"/>
      <c r="J7" s="471"/>
      <c r="K7" s="471"/>
      <c r="L7" s="471"/>
      <c r="M7" s="471"/>
      <c r="O7" s="570"/>
    </row>
    <row r="8" spans="1:15" ht="31.5" x14ac:dyDescent="0.5">
      <c r="A8" s="471"/>
      <c r="B8" s="574" t="s">
        <v>417</v>
      </c>
      <c r="C8" s="471"/>
      <c r="D8" s="471"/>
      <c r="E8" s="471"/>
      <c r="F8" s="471"/>
      <c r="G8" s="471"/>
      <c r="H8" s="471"/>
      <c r="I8" s="471"/>
      <c r="J8" s="471"/>
      <c r="K8" s="471"/>
      <c r="L8" s="471"/>
      <c r="M8" s="471"/>
      <c r="O8" s="570"/>
    </row>
    <row r="9" spans="1:15" ht="399.95" customHeight="1" x14ac:dyDescent="0.25">
      <c r="A9" s="471"/>
      <c r="B9" s="559" t="s">
        <v>642</v>
      </c>
      <c r="C9" s="559"/>
      <c r="D9" s="559"/>
      <c r="E9" s="559"/>
      <c r="F9" s="559"/>
      <c r="G9" s="559"/>
      <c r="H9" s="559"/>
      <c r="I9" s="575"/>
      <c r="J9" s="471"/>
      <c r="K9" s="471"/>
      <c r="L9" s="471"/>
      <c r="M9" s="471"/>
      <c r="O9" s="570"/>
    </row>
    <row r="10" spans="1:15" x14ac:dyDescent="0.25">
      <c r="A10" s="471"/>
      <c r="B10" s="559"/>
      <c r="C10" s="559"/>
      <c r="D10" s="559"/>
      <c r="E10" s="559"/>
      <c r="F10" s="559"/>
      <c r="G10" s="559"/>
      <c r="H10" s="559"/>
      <c r="I10" s="471"/>
      <c r="J10" s="471"/>
      <c r="K10" s="471"/>
      <c r="L10" s="471"/>
      <c r="M10" s="471"/>
      <c r="O10" s="570"/>
    </row>
    <row r="11" spans="1:15" x14ac:dyDescent="0.25">
      <c r="A11" s="471"/>
      <c r="B11" s="559"/>
      <c r="C11" s="559"/>
      <c r="D11" s="559"/>
      <c r="E11" s="559"/>
      <c r="F11" s="559"/>
      <c r="G11" s="559"/>
      <c r="H11" s="559"/>
      <c r="I11" s="471"/>
      <c r="J11" s="471"/>
      <c r="K11" s="471"/>
      <c r="L11" s="471"/>
      <c r="M11" s="471"/>
      <c r="O11" s="570"/>
    </row>
    <row r="12" spans="1:15" x14ac:dyDescent="0.25">
      <c r="A12" s="471"/>
      <c r="B12" s="576"/>
      <c r="C12" s="576"/>
      <c r="D12" s="576"/>
      <c r="E12" s="576"/>
      <c r="F12" s="576"/>
      <c r="G12" s="576"/>
      <c r="H12" s="576"/>
      <c r="I12" s="471"/>
      <c r="J12" s="471"/>
      <c r="K12" s="471"/>
      <c r="L12" s="471"/>
      <c r="M12" s="471"/>
      <c r="O12" s="570"/>
    </row>
    <row r="13" spans="1:15" x14ac:dyDescent="0.25">
      <c r="A13" s="471"/>
      <c r="B13" s="577" t="s">
        <v>656</v>
      </c>
      <c r="C13" s="578" t="s">
        <v>655</v>
      </c>
      <c r="D13" s="576"/>
      <c r="E13" s="576"/>
      <c r="F13" s="576"/>
      <c r="G13" s="576"/>
      <c r="H13" s="576"/>
      <c r="I13" s="471"/>
      <c r="J13" s="471"/>
      <c r="K13" s="471"/>
      <c r="L13" s="471"/>
      <c r="M13" s="471"/>
      <c r="O13" s="570"/>
    </row>
    <row r="14" spans="1:15" ht="5.0999999999999996" customHeight="1" x14ac:dyDescent="0.25">
      <c r="A14" s="471"/>
      <c r="B14" s="577"/>
      <c r="C14" s="577"/>
      <c r="D14" s="576"/>
      <c r="E14" s="576"/>
      <c r="F14" s="576"/>
      <c r="G14" s="576"/>
      <c r="H14" s="576"/>
      <c r="I14" s="471"/>
      <c r="J14" s="471"/>
      <c r="K14" s="471"/>
      <c r="L14" s="471"/>
      <c r="M14" s="471"/>
      <c r="O14" s="570"/>
    </row>
    <row r="15" spans="1:15" x14ac:dyDescent="0.25">
      <c r="A15" s="471"/>
      <c r="B15" s="577" t="s">
        <v>657</v>
      </c>
      <c r="C15" s="579">
        <f ca="1">+TODAY()</f>
        <v>46258</v>
      </c>
      <c r="D15" s="576"/>
      <c r="E15" s="576"/>
      <c r="F15" s="576"/>
      <c r="G15" s="576"/>
      <c r="H15" s="576"/>
      <c r="I15" s="471"/>
      <c r="J15" s="471"/>
      <c r="K15" s="471"/>
      <c r="L15" s="471"/>
      <c r="M15" s="471"/>
      <c r="O15" s="570"/>
    </row>
    <row r="16" spans="1:15" ht="5.0999999999999996" customHeight="1" x14ac:dyDescent="0.25">
      <c r="A16" s="471"/>
      <c r="B16" s="577"/>
      <c r="C16" s="577"/>
      <c r="D16" s="576"/>
      <c r="E16" s="576"/>
      <c r="F16" s="576"/>
      <c r="G16" s="576"/>
      <c r="H16" s="576"/>
      <c r="I16" s="471"/>
      <c r="J16" s="471"/>
      <c r="K16" s="471"/>
      <c r="L16" s="471"/>
      <c r="M16" s="471"/>
      <c r="O16" s="570"/>
    </row>
    <row r="17" spans="1:15" x14ac:dyDescent="0.25">
      <c r="A17" s="471"/>
      <c r="B17" s="577" t="s">
        <v>654</v>
      </c>
      <c r="C17" s="579">
        <f ca="1">+EOMONTH(C15,3)</f>
        <v>46356</v>
      </c>
      <c r="D17" s="576"/>
      <c r="E17" s="576"/>
      <c r="F17" s="576"/>
      <c r="G17" s="576"/>
      <c r="H17" s="576"/>
      <c r="I17" s="471"/>
      <c r="J17" s="471"/>
      <c r="K17" s="471"/>
      <c r="L17" s="471"/>
      <c r="M17" s="471"/>
      <c r="O17" s="570"/>
    </row>
    <row r="18" spans="1:15" x14ac:dyDescent="0.25">
      <c r="A18" s="471"/>
      <c r="B18" s="471"/>
      <c r="C18" s="471"/>
      <c r="D18" s="471"/>
      <c r="E18" s="471"/>
      <c r="F18" s="471"/>
      <c r="G18" s="471"/>
      <c r="H18" s="471"/>
      <c r="I18" s="471"/>
      <c r="J18" s="471"/>
      <c r="K18" s="471"/>
      <c r="L18" s="471"/>
      <c r="M18" s="471"/>
      <c r="O18" s="570"/>
    </row>
    <row r="19" spans="1:15" ht="263.25" customHeight="1" x14ac:dyDescent="0.25">
      <c r="A19" s="471"/>
      <c r="B19" s="580" t="s">
        <v>663</v>
      </c>
      <c r="C19" s="580"/>
      <c r="D19" s="580"/>
      <c r="E19" s="580"/>
      <c r="F19" s="580"/>
      <c r="G19" s="580"/>
      <c r="H19" s="580"/>
      <c r="I19" s="471"/>
      <c r="J19" s="471"/>
      <c r="K19" s="471"/>
      <c r="L19" s="471"/>
      <c r="M19" s="471"/>
      <c r="O19" s="570"/>
    </row>
    <row r="20" spans="1:15" x14ac:dyDescent="0.25">
      <c r="A20" s="471"/>
      <c r="B20" s="471"/>
      <c r="C20" s="471"/>
      <c r="D20" s="471"/>
      <c r="E20" s="471"/>
      <c r="F20" s="471"/>
      <c r="G20" s="471"/>
      <c r="H20" s="471"/>
      <c r="I20" s="471"/>
      <c r="J20" s="471"/>
      <c r="K20" s="471"/>
      <c r="L20" s="471"/>
      <c r="M20" s="471"/>
      <c r="O20" s="570"/>
    </row>
    <row r="21" spans="1:15" s="569" customFormat="1" ht="9.9499999999999993" customHeight="1" x14ac:dyDescent="0.25">
      <c r="O21" s="570"/>
    </row>
    <row r="22" spans="1:15" x14ac:dyDescent="0.25">
      <c r="A22" s="570"/>
      <c r="B22" s="570"/>
      <c r="C22" s="570"/>
      <c r="D22" s="570"/>
      <c r="E22" s="570"/>
      <c r="F22" s="570"/>
      <c r="G22" s="570"/>
      <c r="H22" s="570"/>
      <c r="I22" s="570"/>
      <c r="J22" s="570"/>
      <c r="K22" s="570"/>
      <c r="L22" s="570"/>
      <c r="M22" s="570"/>
      <c r="N22" s="570"/>
      <c r="O22" s="570"/>
    </row>
    <row r="24" spans="1:15" ht="15" customHeight="1" x14ac:dyDescent="0.25"/>
    <row r="25" spans="1:15" s="561" customFormat="1" ht="15" customHeight="1" x14ac:dyDescent="0.25">
      <c r="A25" s="561" t="s">
        <v>410</v>
      </c>
    </row>
    <row r="38" spans="14:14" ht="15" hidden="1" customHeight="1" x14ac:dyDescent="0.25">
      <c r="N38" s="374"/>
    </row>
  </sheetData>
  <sheetProtection algorithmName="SHA-512" hashValue="5vzSvgaebWw2vk00rnro9+u9cH+Bov6vkUa+ayPKHWkPow/AH2AGPb2YSo7WB7j+5EtO4yFNNLjBF5qINMb7Ow==" saltValue="f3n9sz3kSKqu7wSfJ0chyQ==" spinCount="100000" sheet="1" objects="1" scenarios="1"/>
  <mergeCells count="3">
    <mergeCell ref="A1:M1"/>
    <mergeCell ref="B9:H11"/>
    <mergeCell ref="B19:H19"/>
  </mergeCells>
  <pageMargins left="0.7" right="0.7" top="0.78740157499999996" bottom="0.78740157499999996"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40C69-081A-4181-809B-BB20738A4E5B}">
  <sheetPr>
    <tabColor theme="0"/>
  </sheetPr>
  <dimension ref="A1:M16"/>
  <sheetViews>
    <sheetView showGridLines="0" zoomScaleNormal="100" workbookViewId="0"/>
  </sheetViews>
  <sheetFormatPr baseColWidth="10" defaultColWidth="0" defaultRowHeight="15" zeroHeight="1" x14ac:dyDescent="0.25"/>
  <cols>
    <col min="1" max="1" width="2.28515625" style="2" customWidth="1"/>
    <col min="2" max="2" width="5.7109375" style="374" customWidth="1"/>
    <col min="3" max="3" width="50.7109375" style="374" customWidth="1"/>
    <col min="4" max="4" width="100.7109375" style="374" customWidth="1"/>
    <col min="5" max="5" width="2.28515625" style="2" customWidth="1"/>
    <col min="6" max="6" width="12.7109375" style="2" customWidth="1"/>
    <col min="7" max="9" width="2.28515625" style="2" customWidth="1"/>
    <col min="10" max="13" width="0" style="2" hidden="1" customWidth="1"/>
    <col min="14" max="16384" width="11.42578125" style="2" hidden="1"/>
  </cols>
  <sheetData>
    <row r="1" spans="1:7" s="1" customFormat="1" ht="23.25" x14ac:dyDescent="0.35">
      <c r="A1" s="373" t="str">
        <f>+"Erweiterte Unternehmensbewertung - Daten Check |" &amp;'2. Input_Allgemein'!E25</f>
        <v>Erweiterte Unternehmensbewertung - Daten Check |Beispiel AG</v>
      </c>
      <c r="B1" s="373"/>
      <c r="C1" s="373"/>
      <c r="D1" s="373"/>
      <c r="E1" s="373"/>
      <c r="F1" s="373"/>
    </row>
    <row r="2" spans="1:7" ht="5.0999999999999996" customHeight="1" x14ac:dyDescent="0.25">
      <c r="A2" s="374"/>
      <c r="E2" s="562"/>
      <c r="F2" s="563"/>
      <c r="G2" s="184"/>
    </row>
    <row r="3" spans="1:7" x14ac:dyDescent="0.25">
      <c r="A3" s="374"/>
      <c r="E3" s="562"/>
      <c r="F3" s="563"/>
      <c r="G3" s="184"/>
    </row>
    <row r="4" spans="1:7" ht="127.5" customHeight="1" x14ac:dyDescent="0.25">
      <c r="A4" s="374"/>
      <c r="C4" s="564" t="s">
        <v>643</v>
      </c>
      <c r="D4" s="564"/>
      <c r="E4" s="564"/>
      <c r="F4" s="564"/>
      <c r="G4" s="184"/>
    </row>
    <row r="5" spans="1:7" x14ac:dyDescent="0.25">
      <c r="B5" s="2"/>
      <c r="C5" s="2"/>
      <c r="D5" s="2"/>
      <c r="E5" s="184"/>
      <c r="F5" s="185"/>
      <c r="G5" s="184"/>
    </row>
    <row r="6" spans="1:7" x14ac:dyDescent="0.25">
      <c r="B6" s="565" t="s">
        <v>341</v>
      </c>
      <c r="C6" s="565" t="s">
        <v>412</v>
      </c>
      <c r="D6" s="565" t="s">
        <v>340</v>
      </c>
      <c r="E6" s="184"/>
      <c r="F6" s="196" t="s">
        <v>342</v>
      </c>
      <c r="G6" s="184"/>
    </row>
    <row r="7" spans="1:7" ht="30" customHeight="1" x14ac:dyDescent="0.25">
      <c r="B7" s="566">
        <v>1</v>
      </c>
      <c r="C7" s="566" t="s">
        <v>420</v>
      </c>
      <c r="D7" s="567" t="s">
        <v>421</v>
      </c>
      <c r="E7" s="184"/>
      <c r="F7" s="673" t="b">
        <v>0</v>
      </c>
      <c r="G7" s="184"/>
    </row>
    <row r="8" spans="1:7" ht="30" customHeight="1" x14ac:dyDescent="0.25">
      <c r="B8" s="566">
        <f>+B7+1</f>
        <v>2</v>
      </c>
      <c r="C8" s="566" t="s">
        <v>401</v>
      </c>
      <c r="D8" s="567" t="s">
        <v>423</v>
      </c>
      <c r="E8" s="184"/>
      <c r="F8" s="673" t="b">
        <v>0</v>
      </c>
      <c r="G8" s="184"/>
    </row>
    <row r="9" spans="1:7" ht="30" customHeight="1" x14ac:dyDescent="0.25">
      <c r="B9" s="566">
        <f>+B8+1</f>
        <v>3</v>
      </c>
      <c r="C9" s="566" t="s">
        <v>424</v>
      </c>
      <c r="D9" s="567" t="s">
        <v>425</v>
      </c>
      <c r="E9" s="184"/>
      <c r="F9" s="673" t="b">
        <v>0</v>
      </c>
      <c r="G9" s="184"/>
    </row>
    <row r="10" spans="1:7" ht="30" customHeight="1" x14ac:dyDescent="0.25">
      <c r="B10" s="566">
        <f>+B8+1</f>
        <v>3</v>
      </c>
      <c r="C10" s="566" t="s">
        <v>427</v>
      </c>
      <c r="D10" s="567" t="s">
        <v>426</v>
      </c>
      <c r="E10" s="184"/>
      <c r="F10" s="673" t="b">
        <v>0</v>
      </c>
      <c r="G10" s="184"/>
    </row>
    <row r="11" spans="1:7" ht="30" customHeight="1" x14ac:dyDescent="0.25">
      <c r="B11" s="566">
        <f>+B10+1</f>
        <v>4</v>
      </c>
      <c r="C11" s="566" t="s">
        <v>419</v>
      </c>
      <c r="D11" s="567" t="s">
        <v>436</v>
      </c>
      <c r="E11" s="184"/>
      <c r="F11" s="673" t="b">
        <v>0</v>
      </c>
      <c r="G11" s="184"/>
    </row>
    <row r="12" spans="1:7" ht="30" customHeight="1" x14ac:dyDescent="0.25">
      <c r="B12" s="566">
        <f t="shared" ref="B12:B13" si="0">+B11+1</f>
        <v>5</v>
      </c>
      <c r="C12" s="566" t="s">
        <v>405</v>
      </c>
      <c r="D12" s="567" t="s">
        <v>432</v>
      </c>
      <c r="E12" s="184"/>
      <c r="F12" s="673" t="b">
        <v>0</v>
      </c>
      <c r="G12" s="184"/>
    </row>
    <row r="13" spans="1:7" ht="30" customHeight="1" x14ac:dyDescent="0.25">
      <c r="B13" s="566">
        <f t="shared" si="0"/>
        <v>6</v>
      </c>
      <c r="C13" s="566" t="s">
        <v>406</v>
      </c>
      <c r="D13" s="567" t="s">
        <v>433</v>
      </c>
      <c r="E13" s="184"/>
      <c r="F13" s="673" t="b">
        <v>0</v>
      </c>
      <c r="G13" s="184"/>
    </row>
    <row r="14" spans="1:7" x14ac:dyDescent="0.25"/>
    <row r="15" spans="1:7" x14ac:dyDescent="0.25"/>
    <row r="16" spans="1:7" s="197" customFormat="1" ht="15" customHeight="1" x14ac:dyDescent="0.25">
      <c r="A16" s="197" t="s">
        <v>410</v>
      </c>
      <c r="B16" s="561"/>
      <c r="C16" s="561"/>
      <c r="D16" s="561"/>
    </row>
  </sheetData>
  <sheetProtection algorithmName="SHA-512" hashValue="syzOOXAgwbpfUoO6/SlUpX1z2nuS+c61EOoBtKfA1N3rd7jiGSkYyDYcOeOMqckhMs/G7SgREAC22o8Sy9BAaQ==" saltValue="aWdgx41ctVgYF5/YWjP7ng==" spinCount="100000" sheet="1" objects="1" scenarios="1"/>
  <mergeCells count="1">
    <mergeCell ref="C4:F4"/>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6B719-8C8E-43EC-B654-593C39B767C2}">
  <sheetPr>
    <tabColor theme="0"/>
    <pageSetUpPr fitToPage="1"/>
  </sheetPr>
  <dimension ref="A1:U69"/>
  <sheetViews>
    <sheetView showGridLines="0" zoomScaleNormal="100" workbookViewId="0"/>
  </sheetViews>
  <sheetFormatPr baseColWidth="10" defaultColWidth="0" defaultRowHeight="15" zeroHeight="1" x14ac:dyDescent="0.25"/>
  <cols>
    <col min="1" max="2" width="2.7109375" style="2" customWidth="1"/>
    <col min="3" max="3" width="70.7109375" style="2" customWidth="1"/>
    <col min="4" max="4" width="10.7109375" style="2" customWidth="1"/>
    <col min="5" max="5" width="30.7109375" style="2" customWidth="1"/>
    <col min="6" max="6" width="5.7109375" style="2" customWidth="1"/>
    <col min="7" max="17" width="13.7109375" style="2" customWidth="1"/>
    <col min="18" max="18" width="2.28515625" style="2" customWidth="1"/>
    <col min="19" max="19" width="2.5703125" style="2" hidden="1" customWidth="1"/>
    <col min="20" max="20" width="2" style="2" hidden="1" customWidth="1"/>
    <col min="21" max="21" width="2.7109375" style="2" hidden="1" customWidth="1"/>
    <col min="22" max="16384" width="11.42578125" style="2" hidden="1"/>
  </cols>
  <sheetData>
    <row r="1" spans="1:8" s="1" customFormat="1" ht="23.25" x14ac:dyDescent="0.35">
      <c r="A1" s="1" t="str">
        <f>+"Erweiterte Unternehmensbewertung - Inputs |"&amp;'2. Input_Allgemein'!E25</f>
        <v>Erweiterte Unternehmensbewertung - Inputs |Beispiel AG</v>
      </c>
    </row>
    <row r="2" spans="1:8" ht="5.0999999999999996" customHeight="1" x14ac:dyDescent="0.25"/>
    <row r="3" spans="1:8" x14ac:dyDescent="0.25"/>
    <row r="4" spans="1:8" s="3" customFormat="1" ht="27" hidden="1" thickBot="1" x14ac:dyDescent="0.45">
      <c r="A4" s="3" t="s">
        <v>508</v>
      </c>
    </row>
    <row r="5" spans="1:8" hidden="1" x14ac:dyDescent="0.25">
      <c r="E5" s="183"/>
    </row>
    <row r="6" spans="1:8" ht="15.75" hidden="1" customHeight="1" x14ac:dyDescent="0.25">
      <c r="C6" s="204" t="s">
        <v>3</v>
      </c>
      <c r="D6" s="205"/>
      <c r="E6" s="205"/>
      <c r="F6" s="206"/>
      <c r="G6" s="207" t="s">
        <v>218</v>
      </c>
      <c r="H6" s="208" t="s">
        <v>217</v>
      </c>
    </row>
    <row r="7" spans="1:8" hidden="1" x14ac:dyDescent="0.25">
      <c r="C7" s="247" t="s">
        <v>216</v>
      </c>
      <c r="D7" s="199"/>
      <c r="E7" s="199"/>
      <c r="F7" s="200"/>
      <c r="G7" s="203">
        <f ca="1">+SUM(T25:T36)</f>
        <v>6</v>
      </c>
      <c r="H7" s="93">
        <v>7</v>
      </c>
    </row>
    <row r="8" spans="1:8" ht="15" hidden="1" customHeight="1" x14ac:dyDescent="0.25">
      <c r="C8" s="250" t="s">
        <v>17</v>
      </c>
      <c r="D8" s="201"/>
      <c r="E8" s="201"/>
      <c r="F8" s="202"/>
      <c r="G8" s="198">
        <f>+SUM(T44:T59)</f>
        <v>10</v>
      </c>
      <c r="H8" s="92">
        <v>10</v>
      </c>
    </row>
    <row r="10" spans="1:8" ht="15.75" hidden="1" x14ac:dyDescent="0.25">
      <c r="C10" s="209" t="s">
        <v>35</v>
      </c>
      <c r="D10" s="210"/>
      <c r="E10" s="210"/>
      <c r="F10" s="206"/>
      <c r="G10" s="207" t="s">
        <v>218</v>
      </c>
      <c r="H10" s="208" t="s">
        <v>217</v>
      </c>
    </row>
    <row r="11" spans="1:8" hidden="1" x14ac:dyDescent="0.25">
      <c r="C11" s="251" t="s">
        <v>54</v>
      </c>
      <c r="D11" s="199"/>
      <c r="E11" s="199"/>
      <c r="F11" s="200"/>
      <c r="G11" s="203">
        <f>+COUNTA(#REF!,#REF!,#REF!,#REF!,#REF!,#REF!)</f>
        <v>6</v>
      </c>
      <c r="H11" s="93">
        <v>95</v>
      </c>
    </row>
    <row r="12" spans="1:8" hidden="1" x14ac:dyDescent="0.25">
      <c r="C12" s="250" t="s">
        <v>55</v>
      </c>
      <c r="D12" s="201"/>
      <c r="E12" s="201"/>
      <c r="F12" s="202"/>
      <c r="G12" s="248">
        <f>+COUNTA(#REF!,#REF!,#REF!,#REF!,#REF!,#REF!,#REF!,#REF!,#REF!,#REF!,#REF!,#REF!)</f>
        <v>12</v>
      </c>
      <c r="H12" s="249">
        <v>148</v>
      </c>
    </row>
    <row r="13" spans="1:8" hidden="1" x14ac:dyDescent="0.25">
      <c r="C13" s="253" t="s">
        <v>219</v>
      </c>
      <c r="D13" s="201"/>
      <c r="E13" s="201"/>
      <c r="F13" s="202"/>
      <c r="G13" s="318" t="str">
        <f>IF(IF(OR(G141="Check",H141="Check",I141="Check",J141="Check"),1,0)=1,"Check","OK")</f>
        <v>OK</v>
      </c>
      <c r="H13" s="319"/>
    </row>
    <row r="14" spans="1:8" ht="15" hidden="1" customHeight="1" x14ac:dyDescent="0.25">
      <c r="C14" s="253" t="s">
        <v>137</v>
      </c>
      <c r="D14" s="201"/>
      <c r="E14" s="201"/>
      <c r="F14" s="202"/>
      <c r="G14" s="318" t="str">
        <f>IF(IF(OR(G166="Check",H166="Check",I166="Check",J166="Check"),1,0)=1,"Check","OK")</f>
        <v>OK</v>
      </c>
      <c r="H14" s="319"/>
    </row>
    <row r="16" spans="1:8" ht="15.75" hidden="1" x14ac:dyDescent="0.25">
      <c r="C16" s="204" t="s">
        <v>64</v>
      </c>
      <c r="D16" s="205"/>
      <c r="E16" s="205"/>
      <c r="F16" s="206"/>
      <c r="G16" s="207" t="s">
        <v>218</v>
      </c>
      <c r="H16" s="208" t="s">
        <v>217</v>
      </c>
    </row>
    <row r="17" spans="1:20" hidden="1" x14ac:dyDescent="0.25">
      <c r="C17" s="252" t="s">
        <v>543</v>
      </c>
      <c r="D17" s="199"/>
      <c r="E17" s="199"/>
      <c r="F17" s="200"/>
      <c r="G17" s="203">
        <f>+COUNTA(#REF!,#REF!,#REF!)</f>
        <v>3</v>
      </c>
      <c r="H17" s="93">
        <v>75</v>
      </c>
    </row>
    <row r="18" spans="1:20" hidden="1" x14ac:dyDescent="0.25">
      <c r="C18" s="250" t="s">
        <v>54</v>
      </c>
      <c r="D18" s="201"/>
      <c r="E18" s="201"/>
      <c r="F18" s="202"/>
      <c r="G18" s="198">
        <f>+COUNTA(#REF!,#REF!,#REF!)</f>
        <v>3</v>
      </c>
      <c r="H18" s="92">
        <v>75</v>
      </c>
    </row>
    <row r="19" spans="1:20" hidden="1" x14ac:dyDescent="0.25">
      <c r="C19" s="250" t="s">
        <v>55</v>
      </c>
      <c r="D19" s="201"/>
      <c r="E19" s="201"/>
      <c r="F19" s="202"/>
      <c r="G19" s="198">
        <f>+COUNTA(#REF!,#REF!,#REF!,#REF!,#REF!,#REF!,#REF!,#REF!,#REF!)</f>
        <v>9</v>
      </c>
      <c r="H19" s="92">
        <v>140</v>
      </c>
    </row>
    <row r="21" spans="1:20" ht="5.0999999999999996" customHeight="1" x14ac:dyDescent="0.25"/>
    <row r="22" spans="1:20" s="3" customFormat="1" ht="27" thickBot="1" x14ac:dyDescent="0.45">
      <c r="A22" s="375" t="s">
        <v>501</v>
      </c>
      <c r="B22" s="375"/>
      <c r="C22" s="375"/>
      <c r="D22" s="375"/>
    </row>
    <row r="23" spans="1:20" x14ac:dyDescent="0.25">
      <c r="A23" s="374"/>
      <c r="B23" s="374"/>
      <c r="C23" s="374"/>
      <c r="D23" s="374"/>
    </row>
    <row r="24" spans="1:20" ht="22.5" x14ac:dyDescent="0.35">
      <c r="A24" s="374"/>
      <c r="B24" s="374"/>
      <c r="C24" s="374"/>
      <c r="D24" s="374"/>
      <c r="G24" s="5"/>
      <c r="I24" s="387" t="s">
        <v>413</v>
      </c>
      <c r="J24" s="374"/>
      <c r="K24" s="374"/>
      <c r="L24" s="374"/>
      <c r="M24" s="374"/>
      <c r="N24" s="374"/>
      <c r="O24" s="374"/>
    </row>
    <row r="25" spans="1:20" x14ac:dyDescent="0.25">
      <c r="A25" s="374"/>
      <c r="B25" s="374"/>
      <c r="C25" s="374" t="s">
        <v>0</v>
      </c>
      <c r="D25" s="388" t="s">
        <v>464</v>
      </c>
      <c r="E25" s="674" t="str">
        <f>+'1. Annahmen'!E9</f>
        <v>Beispiel AG</v>
      </c>
      <c r="G25" s="7"/>
      <c r="I25" s="392" t="s">
        <v>463</v>
      </c>
      <c r="J25" s="374"/>
      <c r="K25" s="374"/>
      <c r="L25" s="374"/>
      <c r="M25" s="374"/>
      <c r="N25" s="374"/>
      <c r="O25" s="374"/>
      <c r="T25" s="2">
        <f>+IF(E25="",0,1)</f>
        <v>1</v>
      </c>
    </row>
    <row r="26" spans="1:20" x14ac:dyDescent="0.25">
      <c r="A26" s="374"/>
      <c r="B26" s="374"/>
      <c r="C26" s="374" t="s">
        <v>1</v>
      </c>
      <c r="D26" s="388" t="s">
        <v>27</v>
      </c>
      <c r="E26" s="674" t="str">
        <f>+'1. Annahmen'!E10</f>
        <v>Maschinen- und Anlagenbau</v>
      </c>
      <c r="G26" s="7"/>
      <c r="I26" s="392" t="s">
        <v>443</v>
      </c>
      <c r="J26" s="374"/>
      <c r="K26" s="374"/>
      <c r="L26" s="374"/>
      <c r="M26" s="374"/>
      <c r="N26" s="374"/>
      <c r="O26" s="374"/>
      <c r="T26" s="2">
        <f>+IF(E26="bitte auswählen",0,1)</f>
        <v>1</v>
      </c>
    </row>
    <row r="27" spans="1:20" x14ac:dyDescent="0.25">
      <c r="A27" s="374"/>
      <c r="B27" s="374"/>
      <c r="C27" s="374" t="s">
        <v>485</v>
      </c>
      <c r="D27" s="388" t="s">
        <v>27</v>
      </c>
      <c r="E27" s="674" t="s">
        <v>550</v>
      </c>
      <c r="G27" s="7"/>
      <c r="I27" s="392" t="s">
        <v>443</v>
      </c>
      <c r="J27" s="374"/>
      <c r="K27" s="374"/>
      <c r="L27" s="374"/>
      <c r="M27" s="374"/>
      <c r="N27" s="374"/>
      <c r="O27" s="374"/>
    </row>
    <row r="28" spans="1:20" ht="5.0999999999999996" customHeight="1" x14ac:dyDescent="0.25">
      <c r="A28" s="374"/>
      <c r="B28" s="374"/>
      <c r="C28" s="374"/>
      <c r="D28" s="374"/>
      <c r="E28" s="374"/>
      <c r="I28" s="374"/>
      <c r="J28" s="374"/>
      <c r="K28" s="374"/>
      <c r="L28" s="374"/>
      <c r="M28" s="374"/>
      <c r="N28" s="374"/>
      <c r="O28" s="374"/>
    </row>
    <row r="29" spans="1:20" x14ac:dyDescent="0.25">
      <c r="A29" s="374"/>
      <c r="B29" s="374"/>
      <c r="C29" s="374" t="s">
        <v>16</v>
      </c>
      <c r="D29" s="388" t="s">
        <v>27</v>
      </c>
      <c r="E29" s="674" t="s">
        <v>161</v>
      </c>
      <c r="G29" s="7"/>
      <c r="I29" s="392" t="s">
        <v>443</v>
      </c>
      <c r="J29" s="374"/>
      <c r="K29" s="374"/>
      <c r="L29" s="374"/>
      <c r="M29" s="374"/>
      <c r="N29" s="374"/>
      <c r="O29" s="374"/>
      <c r="T29" s="2">
        <f>+IF(E29="bitte auswählen",0,1)</f>
        <v>1</v>
      </c>
    </row>
    <row r="30" spans="1:20" x14ac:dyDescent="0.25">
      <c r="A30" s="374"/>
      <c r="B30" s="374"/>
      <c r="C30" s="374"/>
      <c r="D30" s="388"/>
      <c r="E30" s="388"/>
      <c r="G30" s="7"/>
      <c r="I30" s="392"/>
      <c r="J30" s="374"/>
      <c r="K30" s="374"/>
      <c r="L30" s="374"/>
      <c r="M30" s="374"/>
      <c r="N30" s="374"/>
      <c r="O30" s="374"/>
    </row>
    <row r="31" spans="1:20" ht="5.0999999999999996" customHeight="1" x14ac:dyDescent="0.25">
      <c r="A31" s="374"/>
      <c r="B31" s="374"/>
      <c r="C31" s="374"/>
      <c r="D31" s="374"/>
      <c r="E31" s="374"/>
      <c r="I31" s="374"/>
      <c r="J31" s="374"/>
      <c r="K31" s="374"/>
      <c r="L31" s="374"/>
      <c r="M31" s="374"/>
      <c r="N31" s="374"/>
      <c r="O31" s="374"/>
    </row>
    <row r="32" spans="1:20" x14ac:dyDescent="0.25">
      <c r="A32" s="374"/>
      <c r="B32" s="374"/>
      <c r="C32" s="374" t="s">
        <v>4</v>
      </c>
      <c r="D32" s="388" t="s">
        <v>27</v>
      </c>
      <c r="E32" s="674" t="s">
        <v>6</v>
      </c>
      <c r="I32" s="374"/>
      <c r="J32" s="374"/>
      <c r="K32" s="374"/>
      <c r="L32" s="374"/>
      <c r="M32" s="374"/>
      <c r="N32" s="374"/>
      <c r="O32" s="374"/>
      <c r="T32" s="2">
        <f>+IF(E32="bitte auswählen",0,1)</f>
        <v>0</v>
      </c>
    </row>
    <row r="33" spans="1:20" x14ac:dyDescent="0.25">
      <c r="A33" s="374"/>
      <c r="B33" s="374"/>
      <c r="C33" s="374" t="s">
        <v>95</v>
      </c>
      <c r="D33" s="388" t="s">
        <v>464</v>
      </c>
      <c r="E33" s="675" t="s">
        <v>96</v>
      </c>
      <c r="G33" s="7"/>
      <c r="I33" s="392"/>
      <c r="J33" s="374"/>
      <c r="K33" s="374"/>
      <c r="L33" s="374"/>
      <c r="M33" s="374"/>
      <c r="N33" s="374"/>
      <c r="O33" s="374"/>
      <c r="T33" s="2">
        <f>+IF(E33="",0,1)</f>
        <v>1</v>
      </c>
    </row>
    <row r="34" spans="1:20" ht="5.0999999999999996" customHeight="1" x14ac:dyDescent="0.25">
      <c r="A34" s="374"/>
      <c r="B34" s="374"/>
      <c r="C34" s="374"/>
      <c r="D34" s="374"/>
      <c r="E34" s="374"/>
      <c r="I34" s="374"/>
      <c r="J34" s="374"/>
      <c r="K34" s="374"/>
      <c r="L34" s="374"/>
      <c r="M34" s="374"/>
      <c r="N34" s="374"/>
      <c r="O34" s="374"/>
    </row>
    <row r="35" spans="1:20" x14ac:dyDescent="0.25">
      <c r="A35" s="374"/>
      <c r="B35" s="374"/>
      <c r="C35" s="374" t="s">
        <v>14</v>
      </c>
      <c r="D35" s="388" t="s">
        <v>15</v>
      </c>
      <c r="E35" s="676">
        <f ca="1">+TODAY()</f>
        <v>46258</v>
      </c>
      <c r="G35" s="7"/>
      <c r="I35" s="392" t="s">
        <v>443</v>
      </c>
      <c r="J35" s="374"/>
      <c r="K35" s="374"/>
      <c r="L35" s="374"/>
      <c r="M35" s="374"/>
      <c r="N35" s="374"/>
      <c r="O35" s="374"/>
      <c r="T35" s="2">
        <f ca="1">+IF(E35="bitte auswählen",0,1)</f>
        <v>1</v>
      </c>
    </row>
    <row r="36" spans="1:20" x14ac:dyDescent="0.25">
      <c r="A36" s="374"/>
      <c r="B36" s="374"/>
      <c r="C36" s="374" t="s">
        <v>498</v>
      </c>
      <c r="D36" s="388" t="s">
        <v>499</v>
      </c>
      <c r="E36" s="677">
        <v>5</v>
      </c>
      <c r="G36" s="7"/>
      <c r="I36" s="392" t="s">
        <v>645</v>
      </c>
      <c r="J36" s="374"/>
      <c r="K36" s="374"/>
      <c r="L36" s="374"/>
      <c r="M36" s="374"/>
      <c r="N36" s="374"/>
      <c r="O36" s="374"/>
      <c r="S36" s="2">
        <f>IF(+E36="bitte auswählen",0,E36)</f>
        <v>5</v>
      </c>
      <c r="T36" s="2">
        <f>+IF(E36="bitte auswählen",0,1)</f>
        <v>1</v>
      </c>
    </row>
    <row r="37" spans="1:20" ht="5.0999999999999996" customHeight="1" x14ac:dyDescent="0.25">
      <c r="A37" s="374"/>
      <c r="B37" s="374"/>
      <c r="C37" s="374"/>
      <c r="D37" s="374"/>
      <c r="E37" s="374"/>
      <c r="I37" s="374"/>
      <c r="J37" s="374"/>
      <c r="K37" s="374"/>
      <c r="L37" s="374"/>
      <c r="M37" s="374"/>
      <c r="N37" s="374"/>
      <c r="O37" s="374"/>
    </row>
    <row r="38" spans="1:20" x14ac:dyDescent="0.25">
      <c r="A38" s="374"/>
      <c r="B38" s="374"/>
      <c r="C38" s="374" t="s">
        <v>544</v>
      </c>
      <c r="D38" s="388" t="s">
        <v>358</v>
      </c>
      <c r="E38" s="464">
        <f ca="1">+'4. Input_Plan'!J57+'2. Input_Allgemein'!S36</f>
        <v>2031</v>
      </c>
      <c r="G38" s="7"/>
      <c r="I38" s="392"/>
      <c r="J38" s="374"/>
      <c r="K38" s="374"/>
      <c r="L38" s="374"/>
      <c r="M38" s="374"/>
      <c r="N38" s="374"/>
      <c r="O38" s="374"/>
      <c r="T38" s="2" t="e">
        <f>+IF(#REF!="bitte auswählen",0,1)</f>
        <v>#REF!</v>
      </c>
    </row>
    <row r="39" spans="1:20" ht="5.0999999999999996" customHeight="1" x14ac:dyDescent="0.25">
      <c r="A39" s="374"/>
      <c r="B39" s="374"/>
      <c r="C39" s="374"/>
      <c r="D39" s="374"/>
      <c r="E39" s="374"/>
      <c r="I39" s="374"/>
      <c r="J39" s="374"/>
      <c r="K39" s="374"/>
      <c r="L39" s="374"/>
      <c r="M39" s="374"/>
      <c r="N39" s="374"/>
      <c r="O39" s="374"/>
    </row>
    <row r="40" spans="1:20" x14ac:dyDescent="0.25">
      <c r="A40" s="374"/>
      <c r="B40" s="374"/>
      <c r="C40" s="374"/>
      <c r="D40" s="374"/>
      <c r="E40" s="374"/>
      <c r="I40" s="374"/>
      <c r="J40" s="374"/>
      <c r="K40" s="374"/>
      <c r="L40" s="374"/>
      <c r="M40" s="374"/>
      <c r="N40" s="374"/>
      <c r="O40" s="374"/>
    </row>
    <row r="41" spans="1:20" s="3" customFormat="1" ht="27" thickBot="1" x14ac:dyDescent="0.45">
      <c r="A41" s="375" t="s">
        <v>502</v>
      </c>
      <c r="B41" s="375"/>
      <c r="C41" s="375"/>
      <c r="D41" s="375"/>
      <c r="E41" s="375"/>
      <c r="I41" s="375"/>
      <c r="J41" s="375"/>
      <c r="K41" s="375"/>
      <c r="L41" s="375"/>
      <c r="M41" s="375"/>
      <c r="N41" s="375"/>
      <c r="O41" s="375"/>
    </row>
    <row r="42" spans="1:20" x14ac:dyDescent="0.25">
      <c r="A42" s="374"/>
      <c r="B42" s="374"/>
      <c r="C42" s="374"/>
      <c r="D42" s="374"/>
      <c r="E42" s="374"/>
      <c r="I42" s="374"/>
      <c r="J42" s="374"/>
      <c r="K42" s="374"/>
      <c r="L42" s="374"/>
      <c r="M42" s="374"/>
      <c r="N42" s="374"/>
      <c r="O42" s="374"/>
    </row>
    <row r="43" spans="1:20" ht="22.5" x14ac:dyDescent="0.35">
      <c r="A43" s="374"/>
      <c r="B43" s="374"/>
      <c r="C43" s="387" t="s">
        <v>466</v>
      </c>
      <c r="D43" s="374"/>
      <c r="E43" s="374"/>
      <c r="G43" s="5"/>
      <c r="I43" s="387" t="s">
        <v>413</v>
      </c>
      <c r="J43" s="374"/>
      <c r="K43" s="374"/>
      <c r="L43" s="374"/>
      <c r="M43" s="374"/>
      <c r="N43" s="374"/>
      <c r="O43" s="374"/>
    </row>
    <row r="44" spans="1:20" x14ac:dyDescent="0.25">
      <c r="A44" s="374"/>
      <c r="B44" s="374"/>
      <c r="C44" s="374" t="s">
        <v>23</v>
      </c>
      <c r="D44" s="388" t="s">
        <v>26</v>
      </c>
      <c r="E44" s="674" t="s">
        <v>323</v>
      </c>
      <c r="G44" s="7"/>
      <c r="I44" s="392" t="s">
        <v>475</v>
      </c>
      <c r="J44" s="374"/>
      <c r="K44" s="374"/>
      <c r="L44" s="374"/>
      <c r="M44" s="374"/>
      <c r="N44" s="374"/>
      <c r="O44" s="374"/>
      <c r="S44" s="45">
        <f>+INDEX(MATCH(E44,Technical!$B$47:$B$52,0),)-1</f>
        <v>2</v>
      </c>
      <c r="T44" s="2">
        <f>+IF(E44="bitte auswählen",0,1)</f>
        <v>1</v>
      </c>
    </row>
    <row r="45" spans="1:20" x14ac:dyDescent="0.25">
      <c r="A45" s="374"/>
      <c r="B45" s="374"/>
      <c r="C45" s="374" t="s">
        <v>465</v>
      </c>
      <c r="D45" s="388" t="s">
        <v>26</v>
      </c>
      <c r="E45" s="674" t="s">
        <v>323</v>
      </c>
      <c r="G45" s="7"/>
      <c r="I45" s="392" t="s">
        <v>474</v>
      </c>
      <c r="J45" s="374"/>
      <c r="K45" s="374"/>
      <c r="L45" s="374"/>
      <c r="M45" s="374"/>
      <c r="N45" s="374"/>
      <c r="O45" s="374"/>
      <c r="S45" s="45">
        <f>+INDEX(MATCH(E45,Technical!$B$47:$B$52,0),)-1</f>
        <v>2</v>
      </c>
      <c r="T45" s="2">
        <f>+IF(E45="bitte auswählen",0,1)</f>
        <v>1</v>
      </c>
    </row>
    <row r="46" spans="1:20" x14ac:dyDescent="0.25">
      <c r="A46" s="374"/>
      <c r="B46" s="374"/>
      <c r="C46" s="374" t="s">
        <v>22</v>
      </c>
      <c r="D46" s="388" t="s">
        <v>26</v>
      </c>
      <c r="E46" s="674" t="s">
        <v>470</v>
      </c>
      <c r="G46" s="7"/>
      <c r="I46" s="392" t="s">
        <v>476</v>
      </c>
      <c r="J46" s="374"/>
      <c r="K46" s="374"/>
      <c r="L46" s="374"/>
      <c r="M46" s="374"/>
      <c r="N46" s="374"/>
      <c r="O46" s="374"/>
      <c r="S46" s="45">
        <f>+INDEX(MATCH(E46,Technical!$B$47:$B$52,0),)-1</f>
        <v>1</v>
      </c>
      <c r="T46" s="2">
        <f>+IF(E46="bitte auswählen",0,1)</f>
        <v>1</v>
      </c>
    </row>
    <row r="47" spans="1:20" ht="5.0999999999999996" customHeight="1" x14ac:dyDescent="0.25">
      <c r="A47" s="374"/>
      <c r="B47" s="374"/>
      <c r="C47" s="374"/>
      <c r="D47" s="374"/>
      <c r="E47" s="374"/>
      <c r="I47" s="374"/>
      <c r="J47" s="374"/>
      <c r="K47" s="374"/>
      <c r="L47" s="374"/>
      <c r="M47" s="374"/>
      <c r="N47" s="374"/>
      <c r="O47" s="374"/>
      <c r="S47" s="45"/>
    </row>
    <row r="48" spans="1:20" ht="22.5" x14ac:dyDescent="0.35">
      <c r="A48" s="374"/>
      <c r="B48" s="374"/>
      <c r="C48" s="387" t="s">
        <v>467</v>
      </c>
      <c r="D48" s="374"/>
      <c r="E48" s="374"/>
      <c r="I48" s="374"/>
      <c r="J48" s="374"/>
      <c r="K48" s="374"/>
      <c r="L48" s="374"/>
      <c r="M48" s="374"/>
      <c r="N48" s="374"/>
      <c r="O48" s="374"/>
      <c r="S48" s="45"/>
    </row>
    <row r="49" spans="1:20" x14ac:dyDescent="0.25">
      <c r="A49" s="374"/>
      <c r="B49" s="374"/>
      <c r="C49" s="374" t="s">
        <v>20</v>
      </c>
      <c r="D49" s="388" t="s">
        <v>26</v>
      </c>
      <c r="E49" s="674" t="s">
        <v>470</v>
      </c>
      <c r="G49" s="7"/>
      <c r="I49" s="392" t="s">
        <v>477</v>
      </c>
      <c r="J49" s="374"/>
      <c r="K49" s="374"/>
      <c r="L49" s="374"/>
      <c r="M49" s="374"/>
      <c r="N49" s="374"/>
      <c r="O49" s="374"/>
      <c r="S49" s="45">
        <f>+INDEX(MATCH(E49,Technical!$B$47:$B$52,0),)-1</f>
        <v>1</v>
      </c>
      <c r="T49" s="2">
        <f>+IF(E49="bitte auswählen",0,1)</f>
        <v>1</v>
      </c>
    </row>
    <row r="50" spans="1:20" x14ac:dyDescent="0.25">
      <c r="A50" s="374"/>
      <c r="B50" s="374"/>
      <c r="C50" s="374" t="s">
        <v>21</v>
      </c>
      <c r="D50" s="388" t="s">
        <v>26</v>
      </c>
      <c r="E50" s="674" t="s">
        <v>470</v>
      </c>
      <c r="G50" s="7"/>
      <c r="I50" s="392" t="s">
        <v>478</v>
      </c>
      <c r="J50" s="374"/>
      <c r="K50" s="374"/>
      <c r="L50" s="374"/>
      <c r="M50" s="374"/>
      <c r="N50" s="374"/>
      <c r="O50" s="374"/>
      <c r="S50" s="45">
        <f>+INDEX(MATCH(E50,Technical!$B$47:$B$52,0),)-1</f>
        <v>1</v>
      </c>
      <c r="T50" s="2">
        <f>+IF(E50="bitte auswählen",0,1)</f>
        <v>1</v>
      </c>
    </row>
    <row r="51" spans="1:20" ht="5.0999999999999996" customHeight="1" x14ac:dyDescent="0.25">
      <c r="A51" s="374"/>
      <c r="B51" s="374"/>
      <c r="C51" s="374"/>
      <c r="D51" s="374"/>
      <c r="E51" s="374"/>
      <c r="I51" s="374"/>
      <c r="J51" s="374"/>
      <c r="K51" s="374"/>
      <c r="L51" s="374"/>
      <c r="M51" s="374"/>
      <c r="N51" s="374"/>
      <c r="O51" s="374"/>
      <c r="S51" s="45"/>
    </row>
    <row r="52" spans="1:20" ht="22.5" x14ac:dyDescent="0.35">
      <c r="A52" s="374"/>
      <c r="B52" s="374"/>
      <c r="C52" s="387" t="s">
        <v>32</v>
      </c>
      <c r="D52" s="374"/>
      <c r="E52" s="374"/>
      <c r="I52" s="374"/>
      <c r="J52" s="374"/>
      <c r="K52" s="374"/>
      <c r="L52" s="374"/>
      <c r="M52" s="374"/>
      <c r="N52" s="374"/>
      <c r="O52" s="374"/>
      <c r="S52" s="45"/>
    </row>
    <row r="53" spans="1:20" x14ac:dyDescent="0.25">
      <c r="A53" s="374"/>
      <c r="B53" s="374"/>
      <c r="C53" s="374" t="s">
        <v>18</v>
      </c>
      <c r="D53" s="388" t="s">
        <v>19</v>
      </c>
      <c r="E53" s="674" t="s">
        <v>25</v>
      </c>
      <c r="G53" s="7"/>
      <c r="I53" s="392" t="s">
        <v>479</v>
      </c>
      <c r="J53" s="374"/>
      <c r="K53" s="374"/>
      <c r="L53" s="374"/>
      <c r="M53" s="374"/>
      <c r="N53" s="374"/>
      <c r="O53" s="374"/>
      <c r="S53" s="45">
        <f>+INDEX(MATCH(E53,Technical!$B$55:$B$57,0),)-1</f>
        <v>2</v>
      </c>
      <c r="T53" s="2">
        <f>+IF(E53="bitte auswählen",0,1)</f>
        <v>1</v>
      </c>
    </row>
    <row r="54" spans="1:20" x14ac:dyDescent="0.25">
      <c r="A54" s="374"/>
      <c r="B54" s="374"/>
      <c r="C54" s="374" t="s">
        <v>30</v>
      </c>
      <c r="D54" s="388" t="s">
        <v>19</v>
      </c>
      <c r="E54" s="674" t="s">
        <v>25</v>
      </c>
      <c r="G54" s="7"/>
      <c r="I54" s="392" t="s">
        <v>468</v>
      </c>
      <c r="J54" s="374"/>
      <c r="K54" s="374"/>
      <c r="L54" s="374"/>
      <c r="M54" s="374"/>
      <c r="N54" s="374"/>
      <c r="O54" s="374"/>
      <c r="S54" s="45">
        <f>+INDEX(MATCH(E54,Technical!$B$55:$B$57,0),)-1</f>
        <v>2</v>
      </c>
      <c r="T54" s="2">
        <f>+IF(E54="bitte auswählen",0,1)</f>
        <v>1</v>
      </c>
    </row>
    <row r="55" spans="1:20" ht="5.0999999999999996" customHeight="1" x14ac:dyDescent="0.25">
      <c r="A55" s="374"/>
      <c r="B55" s="374"/>
      <c r="C55" s="374"/>
      <c r="D55" s="374"/>
      <c r="E55" s="374"/>
      <c r="I55" s="374"/>
      <c r="J55" s="374"/>
      <c r="K55" s="374"/>
      <c r="L55" s="374"/>
      <c r="M55" s="374"/>
      <c r="N55" s="374"/>
      <c r="O55" s="374"/>
      <c r="S55" s="45"/>
    </row>
    <row r="56" spans="1:20" ht="22.5" x14ac:dyDescent="0.35">
      <c r="A56" s="374"/>
      <c r="B56" s="374"/>
      <c r="C56" s="387" t="s">
        <v>469</v>
      </c>
      <c r="D56" s="374"/>
      <c r="E56" s="374"/>
      <c r="I56" s="374"/>
      <c r="J56" s="374"/>
      <c r="K56" s="374"/>
      <c r="L56" s="374"/>
      <c r="M56" s="374"/>
      <c r="N56" s="374"/>
      <c r="O56" s="374"/>
      <c r="S56" s="45"/>
    </row>
    <row r="57" spans="1:20" x14ac:dyDescent="0.25">
      <c r="A57" s="374"/>
      <c r="B57" s="374"/>
      <c r="C57" s="374" t="s">
        <v>29</v>
      </c>
      <c r="D57" s="388" t="s">
        <v>26</v>
      </c>
      <c r="E57" s="674" t="s">
        <v>470</v>
      </c>
      <c r="G57" s="7"/>
      <c r="I57" s="392" t="s">
        <v>480</v>
      </c>
      <c r="J57" s="374"/>
      <c r="K57" s="374"/>
      <c r="L57" s="374"/>
      <c r="M57" s="374"/>
      <c r="N57" s="374"/>
      <c r="O57" s="374"/>
      <c r="S57" s="45">
        <f>+INDEX(MATCH(E57,Technical!$B$47:$B$52,0),)-1</f>
        <v>1</v>
      </c>
      <c r="T57" s="2">
        <f>+IF(E57="bitte auswählen",0,1)</f>
        <v>1</v>
      </c>
    </row>
    <row r="58" spans="1:20" x14ac:dyDescent="0.25">
      <c r="A58" s="374"/>
      <c r="B58" s="374"/>
      <c r="C58" s="374" t="s">
        <v>33</v>
      </c>
      <c r="D58" s="388" t="s">
        <v>26</v>
      </c>
      <c r="E58" s="674" t="s">
        <v>470</v>
      </c>
      <c r="G58" s="7"/>
      <c r="I58" s="392" t="s">
        <v>481</v>
      </c>
      <c r="J58" s="374"/>
      <c r="K58" s="374"/>
      <c r="L58" s="374"/>
      <c r="M58" s="374"/>
      <c r="N58" s="374"/>
      <c r="O58" s="374"/>
      <c r="S58" s="45">
        <f>+INDEX(MATCH(E58,Technical!$B$47:$B$52,0),)-1</f>
        <v>1</v>
      </c>
      <c r="T58" s="2">
        <f>+IF(E58="bitte auswählen",0,1)</f>
        <v>1</v>
      </c>
    </row>
    <row r="59" spans="1:20" x14ac:dyDescent="0.25">
      <c r="A59" s="374"/>
      <c r="B59" s="374"/>
      <c r="C59" s="374" t="s">
        <v>34</v>
      </c>
      <c r="D59" s="388" t="s">
        <v>26</v>
      </c>
      <c r="E59" s="674" t="s">
        <v>470</v>
      </c>
      <c r="G59" s="7"/>
      <c r="I59" s="392" t="s">
        <v>482</v>
      </c>
      <c r="J59" s="374"/>
      <c r="K59" s="374"/>
      <c r="L59" s="374"/>
      <c r="M59" s="374"/>
      <c r="N59" s="374"/>
      <c r="O59" s="374"/>
      <c r="S59" s="45">
        <f>+INDEX(MATCH(E59,Technical!$B$47:$B$52,0),)-1</f>
        <v>1</v>
      </c>
      <c r="T59" s="2">
        <f>+IF(E59="bitte auswählen",0,1)</f>
        <v>1</v>
      </c>
    </row>
    <row r="60" spans="1:20" ht="5.0999999999999996" customHeight="1" x14ac:dyDescent="0.25">
      <c r="I60" s="374"/>
      <c r="J60" s="374"/>
      <c r="K60" s="374"/>
      <c r="L60" s="374"/>
      <c r="M60" s="374"/>
      <c r="N60" s="374"/>
      <c r="O60" s="374"/>
    </row>
    <row r="61" spans="1:20" x14ac:dyDescent="0.25"/>
    <row r="62" spans="1:20" s="375" customFormat="1" ht="27" thickBot="1" x14ac:dyDescent="0.45">
      <c r="A62" s="375" t="s">
        <v>647</v>
      </c>
      <c r="I62" s="375" t="s">
        <v>28</v>
      </c>
    </row>
    <row r="63" spans="1:20" s="374" customFormat="1" ht="15" customHeight="1" x14ac:dyDescent="0.25">
      <c r="D63" s="388"/>
    </row>
    <row r="64" spans="1:20" s="374" customFormat="1" ht="15" customHeight="1" x14ac:dyDescent="0.25">
      <c r="D64" s="388"/>
    </row>
    <row r="65" spans="1:13" s="374" customFormat="1" ht="213.75" customHeight="1" x14ac:dyDescent="0.25">
      <c r="B65" s="559" t="s">
        <v>648</v>
      </c>
      <c r="C65" s="559"/>
      <c r="D65" s="559"/>
      <c r="E65" s="559"/>
      <c r="F65" s="559"/>
      <c r="G65" s="559"/>
      <c r="H65" s="559"/>
      <c r="I65" s="559"/>
      <c r="J65" s="559"/>
      <c r="K65" s="559"/>
      <c r="L65" s="559"/>
      <c r="M65" s="559"/>
    </row>
    <row r="66" spans="1:13" s="374" customFormat="1" x14ac:dyDescent="0.25">
      <c r="B66" s="560"/>
      <c r="C66" s="560"/>
      <c r="D66" s="560"/>
      <c r="E66" s="560"/>
      <c r="F66" s="560"/>
      <c r="G66" s="560"/>
      <c r="H66" s="560"/>
      <c r="I66" s="560"/>
      <c r="J66" s="560"/>
      <c r="K66" s="560"/>
      <c r="L66" s="560"/>
      <c r="M66" s="560"/>
    </row>
    <row r="67" spans="1:13" s="374" customFormat="1" ht="15" customHeight="1" x14ac:dyDescent="0.25">
      <c r="D67" s="388"/>
    </row>
    <row r="68" spans="1:13" s="561" customFormat="1" ht="15" customHeight="1" x14ac:dyDescent="0.25">
      <c r="A68" s="561" t="s">
        <v>410</v>
      </c>
    </row>
    <row r="69" spans="1:13" x14ac:dyDescent="0.25"/>
  </sheetData>
  <sheetProtection algorithmName="SHA-512" hashValue="k5MfLc4SzK+l2XvPf9xGNWPjYpx5xgkGQJ/TM0IQwEsQOSZBf62MY59lJ6RLRK9Z4OnC79yB9jaAjCESnkemmQ==" saltValue="DEAqy65UG69MEv5WU5smFw==" spinCount="100000" sheet="1" objects="1" scenarios="1"/>
  <mergeCells count="3">
    <mergeCell ref="G13:H13"/>
    <mergeCell ref="G14:H14"/>
    <mergeCell ref="B65:M65"/>
  </mergeCells>
  <conditionalFormatting sqref="G13:G14">
    <cfRule type="containsText" dxfId="54" priority="1" operator="containsText" text="OK">
      <formula>NOT(ISERROR(SEARCH("OK",G13)))</formula>
    </cfRule>
    <cfRule type="containsText" dxfId="53" priority="2" operator="containsText" text="CHECK">
      <formula>NOT(ISERROR(SEARCH("CHECK",G13)))</formula>
    </cfRule>
  </conditionalFormatting>
  <dataValidations disablePrompts="1" count="1">
    <dataValidation type="list" allowBlank="1" showInputMessage="1" showErrorMessage="1" sqref="E36" xr:uid="{A2D5D42F-5EE3-470F-8B92-3C1BE40CB0D1}">
      <formula1>"bitte auswählen,3,4,5"</formula1>
    </dataValidation>
  </dataValidations>
  <hyperlinks>
    <hyperlink ref="E33" r:id="rId1" xr:uid="{65D06ABC-9C18-47DB-99DE-4AD3A3B66E50}"/>
    <hyperlink ref="C18" location="'4. Input_Plan'!A59" display="GuV" xr:uid="{9D8BAD3A-9254-4901-A95E-C2EA61D15EE3}"/>
    <hyperlink ref="C17" location="'4. Input_Plan'!A22" display="Allgemeine Plannahmen" xr:uid="{063E923D-69DC-4B9F-BFE3-CF3EB741C2F6}"/>
    <hyperlink ref="C11" location="'3. Input_Historie'!A26" display="GuV" xr:uid="{674DE733-2B2E-49F5-AA2F-38903651919F}"/>
    <hyperlink ref="C7" location="'2. Input_Allgemein'!A24" display="Unternehmensinformationen" xr:uid="{0A2C7DC5-C227-4973-8C2E-B9BCA5093B5A}"/>
    <hyperlink ref="C8" location="'2. Input_Allgemein'!A37" display="Risikofaktoren" xr:uid="{6F3D552A-C698-45FE-AAB4-2859E1C40550}"/>
    <hyperlink ref="C12" location="'3. Input_Historie'!A67" display="Bilanz" xr:uid="{CC4DBF35-2B8F-4DCE-BADB-64B34F66ADC9}"/>
    <hyperlink ref="C13" location="'3. Input_Historie'!A129" display="Bilanz Check" xr:uid="{D76E4770-08AD-4DBB-8A28-A67403DF3A2B}"/>
    <hyperlink ref="C14" location="'3. Input_Historie'!A154" display="Cashflow Rechnung" xr:uid="{11DA1902-BD31-45E3-90C7-B09A2F638134}"/>
  </hyperlinks>
  <pageMargins left="0.7" right="0.7" top="0.78740157499999996" bottom="0.78740157499999996" header="0.3" footer="0.3"/>
  <pageSetup paperSize="9" scale="51" orientation="landscape" r:id="rId2"/>
  <drawing r:id="rId3"/>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F89C982B-4E42-4045-83FE-8231C21ADFD3}">
          <x14:formula1>
            <xm:f>Technical!$B$6:$B$25</xm:f>
          </x14:formula1>
          <xm:sqref>E26</xm:sqref>
        </x14:dataValidation>
        <x14:dataValidation type="list" allowBlank="1" showInputMessage="1" showErrorMessage="1" xr:uid="{D13DF93F-6434-4712-A96A-C54743D52790}">
          <x14:formula1>
            <xm:f>Technical!$B$30:$B$32</xm:f>
          </x14:formula1>
          <xm:sqref>E29</xm:sqref>
        </x14:dataValidation>
        <x14:dataValidation type="list" allowBlank="1" showInputMessage="1" showErrorMessage="1" xr:uid="{4BBE1B54-8512-45BF-B528-E696A693B609}">
          <x14:formula1>
            <xm:f>Technical!$B$36:$B$42</xm:f>
          </x14:formula1>
          <xm:sqref>E32</xm:sqref>
        </x14:dataValidation>
        <x14:dataValidation type="list" allowBlank="1" showInputMessage="1" showErrorMessage="1" xr:uid="{1E7B2C4F-2168-4CD3-A6DE-84A1F17C1FE2}">
          <x14:formula1>
            <xm:f>Technical!$B$47:$B$52</xm:f>
          </x14:formula1>
          <xm:sqref>E49:E50 E57:E59 E44:E46</xm:sqref>
        </x14:dataValidation>
        <x14:dataValidation type="list" allowBlank="1" showInputMessage="1" showErrorMessage="1" xr:uid="{1D6C8B29-CDA0-4F13-8477-E80985EDDE14}">
          <x14:formula1>
            <xm:f>Technical!$B$55:$B$57</xm:f>
          </x14:formula1>
          <xm:sqref>E53:E54</xm:sqref>
        </x14:dataValidation>
        <x14:dataValidation type="list" allowBlank="1" showInputMessage="1" showErrorMessage="1" xr:uid="{0C658D8C-1C32-4B24-A9AF-83DEA25756FF}">
          <x14:formula1>
            <xm:f>Technical!$E$5:$H$5</xm:f>
          </x14:formula1>
          <xm:sqref>E27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3F035-B751-4835-91D9-0C9DE5305D00}">
  <sheetPr>
    <tabColor theme="0"/>
    <pageSetUpPr fitToPage="1"/>
  </sheetPr>
  <dimension ref="A1:AF190"/>
  <sheetViews>
    <sheetView showGridLines="0" zoomScaleNormal="100" workbookViewId="0"/>
  </sheetViews>
  <sheetFormatPr baseColWidth="10" defaultColWidth="0" defaultRowHeight="15" zeroHeight="1" outlineLevelRow="1" x14ac:dyDescent="0.25"/>
  <cols>
    <col min="1" max="2" width="2.7109375" style="2" customWidth="1"/>
    <col min="3" max="3" width="70.7109375" style="374" customWidth="1"/>
    <col min="4" max="4" width="10.7109375" style="2" customWidth="1"/>
    <col min="5" max="5" width="25.7109375" style="2" customWidth="1"/>
    <col min="6" max="6" width="5.7109375" style="2" customWidth="1"/>
    <col min="7" max="10" width="13.7109375" style="374" customWidth="1"/>
    <col min="11" max="22" width="13.7109375" style="2" customWidth="1"/>
    <col min="23" max="23" width="2.28515625" style="2" customWidth="1"/>
    <col min="24" max="26" width="12.7109375" style="2" customWidth="1"/>
    <col min="27" max="27" width="2.7109375" style="2" customWidth="1"/>
    <col min="28" max="32" width="0" style="2" hidden="1" customWidth="1"/>
    <col min="33" max="16384" width="11.42578125" style="2" hidden="1"/>
  </cols>
  <sheetData>
    <row r="1" spans="1:16" s="1" customFormat="1" ht="23.25" x14ac:dyDescent="0.35">
      <c r="A1" s="373" t="str">
        <f>+"Erweiterte Unternehmensbewertung - Inputs |"&amp;'2. Input_Allgemein'!E25</f>
        <v>Erweiterte Unternehmensbewertung - Inputs |Beispiel AG</v>
      </c>
      <c r="B1" s="373"/>
      <c r="C1" s="373"/>
      <c r="D1" s="373"/>
      <c r="E1" s="373"/>
      <c r="F1" s="373"/>
      <c r="G1" s="373"/>
      <c r="H1" s="373"/>
      <c r="I1" s="373"/>
      <c r="J1" s="373"/>
      <c r="K1" s="373"/>
      <c r="L1" s="373"/>
      <c r="M1" s="373"/>
      <c r="N1" s="373"/>
      <c r="O1" s="373"/>
      <c r="P1" s="373"/>
    </row>
    <row r="2" spans="1:16" ht="5.0999999999999996" customHeight="1" x14ac:dyDescent="0.25">
      <c r="A2" s="374"/>
      <c r="B2" s="374"/>
      <c r="D2" s="374"/>
      <c r="E2" s="374"/>
      <c r="F2" s="374"/>
      <c r="K2" s="374"/>
      <c r="L2" s="374"/>
      <c r="M2" s="374"/>
      <c r="N2" s="374"/>
      <c r="O2" s="374"/>
      <c r="P2" s="374"/>
    </row>
    <row r="3" spans="1:16" x14ac:dyDescent="0.25">
      <c r="A3" s="374"/>
      <c r="B3" s="374"/>
      <c r="D3" s="374"/>
      <c r="E3" s="374"/>
      <c r="F3" s="374"/>
      <c r="K3" s="374"/>
      <c r="L3" s="374"/>
      <c r="M3" s="374"/>
      <c r="N3" s="374"/>
      <c r="O3" s="374"/>
      <c r="P3" s="374"/>
    </row>
    <row r="4" spans="1:16" s="3" customFormat="1" ht="27" hidden="1" thickBot="1" x14ac:dyDescent="0.45">
      <c r="A4" s="375" t="s">
        <v>508</v>
      </c>
      <c r="B4" s="375"/>
      <c r="C4" s="375"/>
      <c r="D4" s="375"/>
      <c r="E4" s="375"/>
      <c r="F4" s="375"/>
      <c r="G4" s="375"/>
      <c r="H4" s="375"/>
      <c r="I4" s="375"/>
      <c r="J4" s="375"/>
      <c r="K4" s="375"/>
      <c r="L4" s="375"/>
      <c r="M4" s="375"/>
      <c r="N4" s="375"/>
      <c r="O4" s="375"/>
      <c r="P4" s="375"/>
    </row>
    <row r="5" spans="1:16" hidden="1" x14ac:dyDescent="0.25">
      <c r="A5" s="374"/>
      <c r="B5" s="374"/>
      <c r="D5" s="374"/>
      <c r="E5" s="396"/>
      <c r="F5" s="374"/>
      <c r="K5" s="374"/>
      <c r="L5" s="374"/>
      <c r="M5" s="374"/>
      <c r="N5" s="374"/>
      <c r="O5" s="374"/>
      <c r="P5" s="374"/>
    </row>
    <row r="6" spans="1:16" ht="15.75" hidden="1" customHeight="1" x14ac:dyDescent="0.25">
      <c r="A6" s="374"/>
      <c r="B6" s="374"/>
      <c r="C6" s="376" t="s">
        <v>3</v>
      </c>
      <c r="D6" s="377"/>
      <c r="E6" s="377"/>
      <c r="F6" s="397"/>
      <c r="G6" s="398" t="s">
        <v>218</v>
      </c>
      <c r="H6" s="399" t="s">
        <v>217</v>
      </c>
      <c r="K6" s="374"/>
      <c r="L6" s="374"/>
      <c r="M6" s="374"/>
      <c r="N6" s="374"/>
      <c r="O6" s="374"/>
      <c r="P6" s="374"/>
    </row>
    <row r="7" spans="1:16" hidden="1" x14ac:dyDescent="0.25">
      <c r="A7" s="374"/>
      <c r="B7" s="374"/>
      <c r="C7" s="378" t="s">
        <v>216</v>
      </c>
      <c r="D7" s="379"/>
      <c r="E7" s="379"/>
      <c r="F7" s="400"/>
      <c r="G7" s="401">
        <f ca="1">+'2. Input_Allgemein'!G7</f>
        <v>6</v>
      </c>
      <c r="H7" s="93">
        <f>+'2. Input_Allgemein'!H7</f>
        <v>7</v>
      </c>
      <c r="K7" s="374"/>
      <c r="L7" s="374"/>
      <c r="M7" s="374"/>
      <c r="N7" s="374"/>
      <c r="O7" s="374"/>
      <c r="P7" s="374"/>
    </row>
    <row r="8" spans="1:16" ht="15" hidden="1" customHeight="1" x14ac:dyDescent="0.25">
      <c r="A8" s="374"/>
      <c r="B8" s="374"/>
      <c r="C8" s="380" t="s">
        <v>17</v>
      </c>
      <c r="D8" s="381"/>
      <c r="E8" s="381"/>
      <c r="F8" s="402"/>
      <c r="G8" s="403">
        <f>+'2. Input_Allgemein'!G8</f>
        <v>10</v>
      </c>
      <c r="H8" s="404">
        <f>+'2. Input_Allgemein'!H8</f>
        <v>10</v>
      </c>
      <c r="K8" s="374"/>
      <c r="L8" s="374"/>
      <c r="M8" s="374"/>
      <c r="N8" s="374"/>
      <c r="O8" s="374"/>
      <c r="P8" s="374"/>
    </row>
    <row r="9" spans="1:16" hidden="1" x14ac:dyDescent="0.25">
      <c r="A9" s="374"/>
      <c r="B9" s="374"/>
      <c r="D9" s="374"/>
      <c r="E9" s="374"/>
      <c r="F9" s="374"/>
      <c r="K9" s="374"/>
      <c r="L9" s="374"/>
      <c r="M9" s="374"/>
      <c r="N9" s="374"/>
      <c r="O9" s="374"/>
      <c r="P9" s="374"/>
    </row>
    <row r="10" spans="1:16" ht="15.75" hidden="1" x14ac:dyDescent="0.25">
      <c r="A10" s="374"/>
      <c r="B10" s="374"/>
      <c r="C10" s="382" t="s">
        <v>35</v>
      </c>
      <c r="D10" s="383"/>
      <c r="E10" s="383"/>
      <c r="F10" s="397"/>
      <c r="G10" s="398" t="s">
        <v>218</v>
      </c>
      <c r="H10" s="399" t="s">
        <v>217</v>
      </c>
      <c r="K10" s="374"/>
      <c r="L10" s="374"/>
      <c r="M10" s="374"/>
      <c r="N10" s="374"/>
      <c r="O10" s="374"/>
      <c r="P10" s="374"/>
    </row>
    <row r="11" spans="1:16" hidden="1" x14ac:dyDescent="0.25">
      <c r="A11" s="374"/>
      <c r="B11" s="374"/>
      <c r="C11" s="384" t="s">
        <v>54</v>
      </c>
      <c r="D11" s="379"/>
      <c r="E11" s="379"/>
      <c r="F11" s="400"/>
      <c r="G11" s="401">
        <f>+COUNTA(#REF!,#REF!,#REF!,#REF!,#REF!,#REF!)</f>
        <v>6</v>
      </c>
      <c r="H11" s="93">
        <v>95</v>
      </c>
      <c r="K11" s="374"/>
      <c r="L11" s="374"/>
      <c r="M11" s="374"/>
      <c r="N11" s="374"/>
      <c r="O11" s="374"/>
      <c r="P11" s="374"/>
    </row>
    <row r="12" spans="1:16" hidden="1" x14ac:dyDescent="0.25">
      <c r="A12" s="374"/>
      <c r="B12" s="374"/>
      <c r="C12" s="380" t="s">
        <v>55</v>
      </c>
      <c r="D12" s="381"/>
      <c r="E12" s="381"/>
      <c r="F12" s="402"/>
      <c r="G12" s="405">
        <f>+COUNTA(#REF!,#REF!,#REF!,#REF!,#REF!,#REF!,#REF!,#REF!,#REF!,#REF!,#REF!,#REF!)</f>
        <v>12</v>
      </c>
      <c r="H12" s="406">
        <v>148</v>
      </c>
      <c r="K12" s="374"/>
      <c r="L12" s="374"/>
      <c r="M12" s="374"/>
      <c r="N12" s="374"/>
      <c r="O12" s="374"/>
      <c r="P12" s="374"/>
    </row>
    <row r="13" spans="1:16" ht="15" hidden="1" customHeight="1" x14ac:dyDescent="0.25">
      <c r="A13" s="374"/>
      <c r="B13" s="374"/>
      <c r="C13" s="385" t="s">
        <v>219</v>
      </c>
      <c r="D13" s="381"/>
      <c r="E13" s="381"/>
      <c r="F13" s="402"/>
      <c r="G13" s="407" t="str">
        <f>IF(IF(OR(G129="Check",H129="Check",I129="Check",J129="Check"),1,0)=1,"Check","OK")</f>
        <v>OK</v>
      </c>
      <c r="H13" s="408"/>
      <c r="K13" s="374"/>
      <c r="L13" s="374"/>
      <c r="M13" s="374"/>
      <c r="N13" s="374"/>
      <c r="O13" s="374"/>
      <c r="P13" s="374"/>
    </row>
    <row r="14" spans="1:16" ht="15" hidden="1" customHeight="1" x14ac:dyDescent="0.25">
      <c r="A14" s="374"/>
      <c r="B14" s="374"/>
      <c r="C14" s="385" t="s">
        <v>137</v>
      </c>
      <c r="D14" s="381"/>
      <c r="E14" s="381"/>
      <c r="F14" s="402"/>
      <c r="G14" s="407" t="str">
        <f>IF(IF(OR(G154="Check",H154="Check",I154="Check",J154="Check"),1,0)=1,"Check","OK")</f>
        <v>OK</v>
      </c>
      <c r="H14" s="408"/>
      <c r="K14" s="374"/>
      <c r="L14" s="374"/>
      <c r="M14" s="374"/>
      <c r="N14" s="374"/>
      <c r="O14" s="374"/>
      <c r="P14" s="374"/>
    </row>
    <row r="15" spans="1:16" hidden="1" x14ac:dyDescent="0.25">
      <c r="A15" s="374"/>
      <c r="B15" s="374"/>
      <c r="D15" s="374"/>
      <c r="E15" s="374"/>
      <c r="F15" s="374"/>
      <c r="K15" s="374"/>
      <c r="L15" s="374"/>
      <c r="M15" s="374"/>
      <c r="N15" s="374"/>
      <c r="O15" s="374"/>
      <c r="P15" s="374"/>
    </row>
    <row r="16" spans="1:16" ht="15.75" hidden="1" x14ac:dyDescent="0.25">
      <c r="A16" s="374"/>
      <c r="B16" s="374"/>
      <c r="C16" s="376" t="s">
        <v>64</v>
      </c>
      <c r="D16" s="377"/>
      <c r="E16" s="377"/>
      <c r="F16" s="397"/>
      <c r="G16" s="398" t="s">
        <v>218</v>
      </c>
      <c r="H16" s="399" t="s">
        <v>217</v>
      </c>
      <c r="K16" s="374"/>
      <c r="L16" s="374"/>
      <c r="M16" s="374"/>
      <c r="N16" s="374"/>
      <c r="O16" s="374"/>
      <c r="P16" s="374"/>
    </row>
    <row r="17" spans="1:27" hidden="1" x14ac:dyDescent="0.25">
      <c r="A17" s="374"/>
      <c r="B17" s="374"/>
      <c r="C17" s="386" t="s">
        <v>543</v>
      </c>
      <c r="D17" s="379"/>
      <c r="E17" s="379"/>
      <c r="F17" s="400"/>
      <c r="G17" s="401">
        <f>+COUNTA(#REF!,#REF!,#REF!)</f>
        <v>3</v>
      </c>
      <c r="H17" s="93">
        <v>75</v>
      </c>
      <c r="K17" s="374"/>
      <c r="L17" s="374"/>
      <c r="M17" s="374"/>
      <c r="N17" s="374"/>
      <c r="O17" s="374"/>
      <c r="P17" s="374"/>
    </row>
    <row r="18" spans="1:27" hidden="1" x14ac:dyDescent="0.25">
      <c r="A18" s="374"/>
      <c r="B18" s="374"/>
      <c r="C18" s="380" t="s">
        <v>54</v>
      </c>
      <c r="D18" s="381"/>
      <c r="E18" s="381"/>
      <c r="F18" s="402"/>
      <c r="G18" s="403">
        <f>+COUNTA(#REF!,#REF!,#REF!)</f>
        <v>3</v>
      </c>
      <c r="H18" s="404">
        <v>75</v>
      </c>
      <c r="K18" s="374"/>
      <c r="L18" s="374"/>
      <c r="M18" s="374"/>
      <c r="N18" s="374"/>
      <c r="O18" s="374"/>
      <c r="P18" s="374"/>
    </row>
    <row r="19" spans="1:27" hidden="1" x14ac:dyDescent="0.25">
      <c r="A19" s="374"/>
      <c r="B19" s="374"/>
      <c r="C19" s="380" t="s">
        <v>55</v>
      </c>
      <c r="D19" s="381"/>
      <c r="E19" s="381"/>
      <c r="F19" s="402"/>
      <c r="G19" s="403">
        <f>+COUNTA(#REF!,#REF!,#REF!,#REF!,#REF!,#REF!,#REF!,#REF!,#REF!)</f>
        <v>9</v>
      </c>
      <c r="H19" s="404">
        <v>140</v>
      </c>
      <c r="K19" s="374"/>
      <c r="L19" s="374"/>
      <c r="M19" s="374"/>
      <c r="N19" s="374"/>
      <c r="O19" s="374"/>
      <c r="P19" s="374"/>
    </row>
    <row r="20" spans="1:27" hidden="1" x14ac:dyDescent="0.25">
      <c r="A20" s="374"/>
      <c r="B20" s="374"/>
      <c r="D20" s="374"/>
      <c r="E20" s="374"/>
      <c r="F20" s="374"/>
      <c r="K20" s="374"/>
      <c r="L20" s="374"/>
      <c r="M20" s="374"/>
      <c r="N20" s="374"/>
      <c r="O20" s="374"/>
      <c r="P20" s="374"/>
    </row>
    <row r="21" spans="1:27" ht="5.0999999999999996" customHeight="1" x14ac:dyDescent="0.25">
      <c r="A21" s="374"/>
      <c r="B21" s="374"/>
      <c r="D21" s="374"/>
      <c r="E21" s="374"/>
      <c r="F21" s="374"/>
      <c r="K21" s="374"/>
      <c r="L21" s="374"/>
      <c r="M21" s="374"/>
      <c r="N21" s="374"/>
      <c r="O21" s="374"/>
      <c r="P21" s="374"/>
    </row>
    <row r="22" spans="1:27" s="3" customFormat="1" ht="27" thickBot="1" x14ac:dyDescent="0.45">
      <c r="A22" s="375" t="s">
        <v>505</v>
      </c>
      <c r="B22" s="375"/>
      <c r="C22" s="375"/>
      <c r="D22" s="375"/>
      <c r="E22" s="375"/>
      <c r="F22" s="375"/>
      <c r="G22" s="375"/>
      <c r="H22" s="375" t="s">
        <v>28</v>
      </c>
      <c r="I22" s="375"/>
      <c r="J22" s="375"/>
      <c r="K22" s="375"/>
      <c r="L22" s="375"/>
      <c r="M22" s="375"/>
      <c r="N22" s="375"/>
      <c r="O22" s="375"/>
      <c r="P22" s="375"/>
    </row>
    <row r="23" spans="1:27" x14ac:dyDescent="0.25">
      <c r="A23" s="374"/>
      <c r="B23" s="374"/>
      <c r="D23" s="374"/>
      <c r="E23" s="374"/>
      <c r="F23" s="374"/>
      <c r="K23" s="374"/>
      <c r="L23" s="374"/>
      <c r="M23" s="374"/>
      <c r="N23" s="374"/>
      <c r="O23" s="374"/>
      <c r="P23" s="374"/>
    </row>
    <row r="24" spans="1:27" ht="22.5" x14ac:dyDescent="0.35">
      <c r="A24" s="387" t="s">
        <v>542</v>
      </c>
      <c r="B24" s="374"/>
      <c r="C24" s="387"/>
      <c r="D24" s="374"/>
      <c r="E24" s="374"/>
      <c r="F24" s="374"/>
      <c r="K24" s="374"/>
      <c r="L24" s="374"/>
      <c r="M24" s="374"/>
      <c r="N24" s="374"/>
      <c r="O24" s="374"/>
      <c r="P24" s="374"/>
      <c r="R24" s="387" t="s">
        <v>31</v>
      </c>
    </row>
    <row r="25" spans="1:27" x14ac:dyDescent="0.25">
      <c r="B25" s="374"/>
      <c r="D25" s="374"/>
      <c r="E25" s="374"/>
      <c r="F25" s="374"/>
      <c r="G25" s="412"/>
      <c r="H25" s="412"/>
      <c r="I25" s="412"/>
      <c r="J25" s="413" t="s">
        <v>38</v>
      </c>
      <c r="K25" s="480" t="s">
        <v>644</v>
      </c>
      <c r="L25" s="480"/>
      <c r="M25" s="480"/>
      <c r="N25" s="480"/>
      <c r="O25" s="488"/>
      <c r="P25" s="481" t="s">
        <v>104</v>
      </c>
      <c r="Q25" s="374"/>
      <c r="R25" s="374"/>
      <c r="S25" s="374"/>
      <c r="T25" s="374"/>
      <c r="U25" s="374"/>
      <c r="V25" s="489"/>
      <c r="W25" s="374"/>
      <c r="X25" s="489"/>
      <c r="Y25" s="8"/>
      <c r="Z25" s="8"/>
      <c r="AA25" s="8"/>
    </row>
    <row r="26" spans="1:27" x14ac:dyDescent="0.25">
      <c r="B26" s="374"/>
      <c r="D26" s="374"/>
      <c r="E26" s="374"/>
      <c r="F26" s="374"/>
      <c r="G26" s="414">
        <f ca="1">+H26-1</f>
        <v>2023</v>
      </c>
      <c r="H26" s="414">
        <f ca="1">+I26-1</f>
        <v>2024</v>
      </c>
      <c r="I26" s="414">
        <f ca="1">+J26-1</f>
        <v>2025</v>
      </c>
      <c r="J26" s="415">
        <f ca="1">+YEAR('2. Input_Allgemein'!E35)</f>
        <v>2026</v>
      </c>
      <c r="K26" s="482">
        <f ca="1">+J26+1</f>
        <v>2027</v>
      </c>
      <c r="L26" s="483">
        <f ca="1">+K26+1</f>
        <v>2028</v>
      </c>
      <c r="M26" s="483">
        <f ca="1">+L26+1</f>
        <v>2029</v>
      </c>
      <c r="N26" s="483">
        <f ca="1">+M26+1</f>
        <v>2030</v>
      </c>
      <c r="O26" s="490">
        <f ca="1">+N26+1</f>
        <v>2031</v>
      </c>
      <c r="P26" s="485">
        <f ca="1">+OFFSET(J26,,'2. Input_Allgemein'!$E$36)+1</f>
        <v>2032</v>
      </c>
      <c r="Q26" s="374"/>
      <c r="R26" s="374"/>
      <c r="S26" s="374"/>
      <c r="T26" s="374"/>
      <c r="U26" s="374"/>
      <c r="V26" s="374"/>
      <c r="W26" s="374"/>
      <c r="X26" s="374"/>
    </row>
    <row r="27" spans="1:27" x14ac:dyDescent="0.25">
      <c r="B27" s="374"/>
      <c r="C27" s="374" t="s">
        <v>36</v>
      </c>
      <c r="D27" s="388" t="s">
        <v>37</v>
      </c>
      <c r="E27" s="374"/>
      <c r="F27" s="416"/>
      <c r="G27" s="678">
        <f>+H27</f>
        <v>463.33333333333337</v>
      </c>
      <c r="H27" s="678">
        <f>+'2. Vereinfachtes_EWV'!G27/0.3</f>
        <v>463.33333333333337</v>
      </c>
      <c r="I27" s="678">
        <f>+'2. Vereinfachtes_EWV'!H27/0.3</f>
        <v>626.66666666666674</v>
      </c>
      <c r="J27" s="678">
        <f>+'2. Vereinfachtes_EWV'!I27/0.3</f>
        <v>646.66666666666674</v>
      </c>
      <c r="K27" s="491"/>
      <c r="L27" s="492"/>
      <c r="M27" s="492"/>
      <c r="N27" s="492"/>
      <c r="O27" s="492"/>
      <c r="P27" s="493"/>
      <c r="Q27" s="374"/>
      <c r="R27" s="374"/>
      <c r="S27" s="374"/>
      <c r="T27" s="374"/>
      <c r="U27" s="374"/>
      <c r="V27" s="374"/>
      <c r="W27" s="374"/>
      <c r="X27" s="374"/>
    </row>
    <row r="28" spans="1:27" hidden="1" outlineLevel="1" x14ac:dyDescent="0.25">
      <c r="B28" s="374"/>
      <c r="C28" s="419" t="s">
        <v>48</v>
      </c>
      <c r="D28" s="420" t="s">
        <v>41</v>
      </c>
      <c r="E28" s="529"/>
      <c r="F28" s="529"/>
      <c r="G28" s="421" t="str">
        <f>IFERROR(+G27/F27-1,"n/a")</f>
        <v>n/a</v>
      </c>
      <c r="H28" s="421">
        <f>IFERROR(+H27/G27-1,"n/a")</f>
        <v>0</v>
      </c>
      <c r="I28" s="421">
        <f>IFERROR(+I27/H27-1,"n/a")</f>
        <v>0.35251798561151082</v>
      </c>
      <c r="J28" s="422">
        <f>IFERROR(+J27/I27-1,"n/a")</f>
        <v>3.1914893617021267E-2</v>
      </c>
      <c r="K28" s="494"/>
      <c r="L28" s="495"/>
      <c r="M28" s="495"/>
      <c r="N28" s="495"/>
      <c r="O28" s="495"/>
      <c r="P28" s="496"/>
      <c r="Q28" s="374"/>
      <c r="R28" s="374"/>
      <c r="S28" s="374"/>
      <c r="T28" s="374"/>
      <c r="U28" s="374"/>
      <c r="V28" s="374"/>
      <c r="W28" s="374"/>
      <c r="X28" s="374"/>
    </row>
    <row r="29" spans="1:27" collapsed="1" x14ac:dyDescent="0.25">
      <c r="B29" s="374"/>
      <c r="C29" s="374" t="s">
        <v>40</v>
      </c>
      <c r="D29" s="388" t="s">
        <v>37</v>
      </c>
      <c r="E29" s="374"/>
      <c r="F29" s="374"/>
      <c r="G29" s="679">
        <f>-G27*0.1</f>
        <v>-46.333333333333343</v>
      </c>
      <c r="H29" s="679">
        <f>-H27*0.1</f>
        <v>-46.333333333333343</v>
      </c>
      <c r="I29" s="679">
        <f>-I27*0.1</f>
        <v>-62.666666666666679</v>
      </c>
      <c r="J29" s="680">
        <f>-J27*0.1</f>
        <v>-64.666666666666671</v>
      </c>
      <c r="K29" s="497"/>
      <c r="L29" s="498"/>
      <c r="M29" s="498"/>
      <c r="N29" s="498"/>
      <c r="O29" s="499"/>
      <c r="P29" s="500"/>
      <c r="Q29" s="374"/>
      <c r="R29" s="392" t="s">
        <v>487</v>
      </c>
      <c r="S29" s="374"/>
      <c r="T29" s="374"/>
      <c r="U29" s="374"/>
      <c r="V29" s="374"/>
      <c r="W29" s="374"/>
      <c r="X29" s="392"/>
    </row>
    <row r="30" spans="1:27" x14ac:dyDescent="0.25">
      <c r="B30" s="374"/>
      <c r="C30" s="425" t="s">
        <v>42</v>
      </c>
      <c r="D30" s="426" t="s">
        <v>37</v>
      </c>
      <c r="E30" s="427"/>
      <c r="F30" s="416"/>
      <c r="G30" s="428">
        <f>+G27+G29</f>
        <v>417</v>
      </c>
      <c r="H30" s="428">
        <f>+H27+H29</f>
        <v>417</v>
      </c>
      <c r="I30" s="428">
        <f>+I27+I29</f>
        <v>564.00000000000011</v>
      </c>
      <c r="J30" s="429">
        <f>+J27+J29</f>
        <v>582.00000000000011</v>
      </c>
      <c r="K30" s="501"/>
      <c r="L30" s="501"/>
      <c r="M30" s="501"/>
      <c r="N30" s="501"/>
      <c r="O30" s="502"/>
      <c r="P30" s="503"/>
      <c r="Q30" s="374"/>
      <c r="R30" s="374"/>
      <c r="S30" s="374"/>
      <c r="T30" s="374"/>
      <c r="U30" s="374"/>
      <c r="V30" s="374"/>
      <c r="W30" s="374"/>
      <c r="X30" s="374"/>
    </row>
    <row r="31" spans="1:27" hidden="1" outlineLevel="1" x14ac:dyDescent="0.25">
      <c r="B31" s="374"/>
      <c r="C31" s="419" t="s">
        <v>486</v>
      </c>
      <c r="D31" s="420" t="s">
        <v>41</v>
      </c>
      <c r="E31" s="419"/>
      <c r="F31" s="419"/>
      <c r="G31" s="430">
        <f>IFERROR(+G30/G27,"n/a")</f>
        <v>0.89999999999999991</v>
      </c>
      <c r="H31" s="430">
        <f>IFERROR(+H30/H27,"n/a")</f>
        <v>0.89999999999999991</v>
      </c>
      <c r="I31" s="430">
        <f>IFERROR(+I30/I27,"n/a")</f>
        <v>0.9</v>
      </c>
      <c r="J31" s="431">
        <f>IFERROR(+J30/J27,"n/a")</f>
        <v>0.9</v>
      </c>
      <c r="K31" s="504"/>
      <c r="L31" s="505"/>
      <c r="M31" s="505"/>
      <c r="N31" s="505"/>
      <c r="O31" s="506"/>
      <c r="P31" s="507"/>
      <c r="Q31" s="374"/>
      <c r="R31" s="374"/>
      <c r="S31" s="374"/>
      <c r="T31" s="374"/>
      <c r="U31" s="374"/>
      <c r="V31" s="374"/>
      <c r="W31" s="374"/>
      <c r="X31" s="374"/>
    </row>
    <row r="32" spans="1:27" hidden="1" outlineLevel="1" x14ac:dyDescent="0.25">
      <c r="B32" s="374"/>
      <c r="C32" s="419" t="s">
        <v>48</v>
      </c>
      <c r="D32" s="420" t="s">
        <v>41</v>
      </c>
      <c r="E32" s="374"/>
      <c r="F32" s="374"/>
      <c r="G32" s="430" t="str">
        <f>IFERROR(+G30/F30-1,"n/a")</f>
        <v>n/a</v>
      </c>
      <c r="H32" s="430">
        <f>IFERROR(+H30/G30-1,"n/a")</f>
        <v>0</v>
      </c>
      <c r="I32" s="430">
        <f>IFERROR(+I30/H30-1,"n/a")</f>
        <v>0.35251798561151104</v>
      </c>
      <c r="J32" s="431">
        <f>IFERROR(+J30/I30-1,"n/a")</f>
        <v>3.1914893617021267E-2</v>
      </c>
      <c r="K32" s="494"/>
      <c r="L32" s="495"/>
      <c r="M32" s="495"/>
      <c r="N32" s="495"/>
      <c r="O32" s="508"/>
      <c r="P32" s="509"/>
      <c r="Q32" s="374"/>
      <c r="R32" s="374"/>
      <c r="S32" s="374"/>
      <c r="T32" s="374"/>
      <c r="U32" s="374"/>
      <c r="V32" s="374"/>
      <c r="W32" s="374"/>
      <c r="X32" s="374"/>
    </row>
    <row r="33" spans="2:24" ht="5.0999999999999996" customHeight="1" collapsed="1" x14ac:dyDescent="0.25">
      <c r="B33" s="374"/>
      <c r="D33" s="374"/>
      <c r="E33" s="374"/>
      <c r="F33" s="374"/>
      <c r="J33" s="432"/>
      <c r="K33" s="510"/>
      <c r="L33" s="510"/>
      <c r="M33" s="510"/>
      <c r="N33" s="510"/>
      <c r="O33" s="511"/>
      <c r="P33" s="510"/>
      <c r="Q33" s="374"/>
      <c r="R33" s="374"/>
      <c r="S33" s="374"/>
      <c r="T33" s="374"/>
      <c r="U33" s="374"/>
      <c r="V33" s="374"/>
      <c r="W33" s="374"/>
      <c r="X33" s="374"/>
    </row>
    <row r="34" spans="2:24" x14ac:dyDescent="0.25">
      <c r="B34" s="374"/>
      <c r="C34" s="374" t="s">
        <v>44</v>
      </c>
      <c r="D34" s="388" t="s">
        <v>37</v>
      </c>
      <c r="E34" s="374"/>
      <c r="F34" s="374"/>
      <c r="G34" s="681">
        <f>+G27*0.5*-1</f>
        <v>-231.66666666666669</v>
      </c>
      <c r="H34" s="681">
        <f>+H27*0.5*-1</f>
        <v>-231.66666666666669</v>
      </c>
      <c r="I34" s="681">
        <f>+I27*0.5*-1</f>
        <v>-313.33333333333337</v>
      </c>
      <c r="J34" s="681">
        <f>+J27*0.5*-1</f>
        <v>-323.33333333333337</v>
      </c>
      <c r="K34" s="512"/>
      <c r="L34" s="513"/>
      <c r="M34" s="513"/>
      <c r="N34" s="513"/>
      <c r="O34" s="514"/>
      <c r="P34" s="515"/>
      <c r="Q34" s="374"/>
      <c r="R34" s="392" t="s">
        <v>487</v>
      </c>
      <c r="S34" s="374"/>
      <c r="T34" s="374"/>
      <c r="U34" s="374"/>
      <c r="V34" s="374"/>
      <c r="W34" s="374"/>
      <c r="X34" s="374"/>
    </row>
    <row r="35" spans="2:24" x14ac:dyDescent="0.25">
      <c r="B35" s="374"/>
      <c r="C35" s="374" t="s">
        <v>47</v>
      </c>
      <c r="D35" s="388" t="s">
        <v>37</v>
      </c>
      <c r="E35" s="374"/>
      <c r="F35" s="374"/>
      <c r="G35" s="682">
        <f>+G27*0.02*-1</f>
        <v>-9.2666666666666675</v>
      </c>
      <c r="H35" s="682">
        <f>+H27*0.02*-1</f>
        <v>-9.2666666666666675</v>
      </c>
      <c r="I35" s="682">
        <f>+I27*0.02*-1</f>
        <v>-12.533333333333335</v>
      </c>
      <c r="J35" s="682">
        <f>+J27*0.02*-1</f>
        <v>-12.933333333333335</v>
      </c>
      <c r="K35" s="512"/>
      <c r="L35" s="513"/>
      <c r="M35" s="513"/>
      <c r="N35" s="513"/>
      <c r="O35" s="514"/>
      <c r="P35" s="515"/>
      <c r="Q35" s="374"/>
      <c r="R35" s="392" t="s">
        <v>487</v>
      </c>
      <c r="S35" s="374"/>
      <c r="T35" s="374"/>
      <c r="U35" s="374"/>
      <c r="V35" s="374"/>
      <c r="W35" s="374"/>
      <c r="X35" s="374"/>
    </row>
    <row r="36" spans="2:24" x14ac:dyDescent="0.25">
      <c r="B36" s="374"/>
      <c r="C36" s="374" t="s">
        <v>45</v>
      </c>
      <c r="D36" s="388" t="s">
        <v>37</v>
      </c>
      <c r="E36" s="374"/>
      <c r="F36" s="374" t="s">
        <v>28</v>
      </c>
      <c r="G36" s="682">
        <f>+G27*0.005</f>
        <v>2.3166666666666669</v>
      </c>
      <c r="H36" s="682">
        <f>+H27*0.005</f>
        <v>2.3166666666666669</v>
      </c>
      <c r="I36" s="682">
        <f>+I27*0.005</f>
        <v>3.1333333333333337</v>
      </c>
      <c r="J36" s="682">
        <f>+J27*0.005</f>
        <v>3.2333333333333338</v>
      </c>
      <c r="K36" s="512"/>
      <c r="L36" s="513"/>
      <c r="M36" s="513"/>
      <c r="N36" s="513"/>
      <c r="O36" s="514"/>
      <c r="P36" s="515"/>
      <c r="Q36" s="374"/>
      <c r="R36" s="374"/>
      <c r="S36" s="374"/>
      <c r="T36" s="374"/>
      <c r="U36" s="374"/>
      <c r="V36" s="374"/>
      <c r="W36" s="374"/>
      <c r="X36" s="374"/>
    </row>
    <row r="37" spans="2:24" x14ac:dyDescent="0.25">
      <c r="B37" s="374"/>
      <c r="C37" s="374" t="s">
        <v>46</v>
      </c>
      <c r="D37" s="388" t="s">
        <v>37</v>
      </c>
      <c r="E37" s="374"/>
      <c r="F37" s="374"/>
      <c r="G37" s="679">
        <f>+G27*0.02*-1</f>
        <v>-9.2666666666666675</v>
      </c>
      <c r="H37" s="679">
        <f t="shared" ref="H37:J37" si="0">+H27*0.02*-1</f>
        <v>-9.2666666666666675</v>
      </c>
      <c r="I37" s="679">
        <f t="shared" si="0"/>
        <v>-12.533333333333335</v>
      </c>
      <c r="J37" s="679">
        <f t="shared" si="0"/>
        <v>-12.933333333333335</v>
      </c>
      <c r="K37" s="497"/>
      <c r="L37" s="498"/>
      <c r="M37" s="498"/>
      <c r="N37" s="498"/>
      <c r="O37" s="499"/>
      <c r="P37" s="500"/>
      <c r="Q37" s="374"/>
      <c r="R37" s="392" t="s">
        <v>487</v>
      </c>
      <c r="S37" s="374"/>
      <c r="T37" s="374"/>
      <c r="U37" s="374"/>
      <c r="V37" s="374"/>
      <c r="W37" s="374"/>
      <c r="X37" s="374"/>
    </row>
    <row r="38" spans="2:24" x14ac:dyDescent="0.25">
      <c r="B38" s="374"/>
      <c r="C38" s="425" t="s">
        <v>485</v>
      </c>
      <c r="D38" s="426" t="s">
        <v>37</v>
      </c>
      <c r="E38" s="427"/>
      <c r="F38" s="427"/>
      <c r="G38" s="428">
        <f>+G30+SUM(G34:G37)</f>
        <v>169.11666666666662</v>
      </c>
      <c r="H38" s="428">
        <f>+H30+SUM(H34:H37)</f>
        <v>169.11666666666662</v>
      </c>
      <c r="I38" s="428">
        <f>+I30+SUM(I34:I37)</f>
        <v>228.73333333333335</v>
      </c>
      <c r="J38" s="429">
        <f>+J30+SUM(J34:J37)</f>
        <v>236.03333333333342</v>
      </c>
      <c r="K38" s="501"/>
      <c r="L38" s="501"/>
      <c r="M38" s="501"/>
      <c r="N38" s="501"/>
      <c r="O38" s="501"/>
      <c r="P38" s="516"/>
      <c r="Q38" s="374"/>
      <c r="R38" s="374"/>
      <c r="S38" s="374"/>
      <c r="T38" s="374"/>
      <c r="U38" s="374"/>
      <c r="V38" s="374"/>
      <c r="W38" s="374"/>
      <c r="X38" s="374"/>
    </row>
    <row r="39" spans="2:24" hidden="1" outlineLevel="1" x14ac:dyDescent="0.25">
      <c r="B39" s="374"/>
      <c r="C39" s="419" t="s">
        <v>336</v>
      </c>
      <c r="D39" s="420" t="s">
        <v>41</v>
      </c>
      <c r="E39" s="419"/>
      <c r="F39" s="419"/>
      <c r="G39" s="430">
        <f>IFERROR(+G38/G27,"n/a")</f>
        <v>0.36499999999999988</v>
      </c>
      <c r="H39" s="430">
        <f>IFERROR(+H38/H27,"n/a")</f>
        <v>0.36499999999999988</v>
      </c>
      <c r="I39" s="430">
        <f>IFERROR(+I38/I27,"n/a")</f>
        <v>0.36499999999999999</v>
      </c>
      <c r="J39" s="431">
        <f>IFERROR(+J38/J27,"n/a")</f>
        <v>0.3650000000000001</v>
      </c>
      <c r="K39" s="517"/>
      <c r="L39" s="517"/>
      <c r="M39" s="517"/>
      <c r="N39" s="517"/>
      <c r="O39" s="517"/>
      <c r="P39" s="518"/>
      <c r="Q39" s="374"/>
      <c r="R39" s="374"/>
      <c r="S39" s="374"/>
      <c r="T39" s="374"/>
      <c r="U39" s="374"/>
      <c r="V39" s="374"/>
      <c r="W39" s="374"/>
      <c r="X39" s="374"/>
    </row>
    <row r="40" spans="2:24" ht="5.0999999999999996" customHeight="1" collapsed="1" x14ac:dyDescent="0.25">
      <c r="B40" s="374"/>
      <c r="D40" s="374"/>
      <c r="E40" s="374"/>
      <c r="F40" s="374"/>
      <c r="J40" s="432"/>
      <c r="K40" s="510"/>
      <c r="L40" s="510"/>
      <c r="M40" s="510"/>
      <c r="N40" s="510"/>
      <c r="O40" s="510"/>
      <c r="P40" s="519"/>
      <c r="Q40" s="374"/>
      <c r="R40" s="374"/>
      <c r="S40" s="374"/>
      <c r="T40" s="374"/>
      <c r="U40" s="374"/>
      <c r="V40" s="374"/>
      <c r="W40" s="374"/>
      <c r="X40" s="374"/>
    </row>
    <row r="41" spans="2:24" x14ac:dyDescent="0.25">
      <c r="B41" s="374"/>
      <c r="C41" s="374" t="s">
        <v>177</v>
      </c>
      <c r="D41" s="388" t="s">
        <v>37</v>
      </c>
      <c r="E41" s="374"/>
      <c r="F41" s="374"/>
      <c r="G41" s="683">
        <v>-30</v>
      </c>
      <c r="H41" s="683">
        <v>-30</v>
      </c>
      <c r="I41" s="683">
        <v>-30</v>
      </c>
      <c r="J41" s="684">
        <v>-30</v>
      </c>
      <c r="K41" s="520"/>
      <c r="L41" s="521"/>
      <c r="M41" s="521"/>
      <c r="N41" s="521"/>
      <c r="O41" s="522"/>
      <c r="P41" s="523"/>
      <c r="Q41" s="374"/>
      <c r="R41" s="392" t="s">
        <v>487</v>
      </c>
      <c r="S41" s="374"/>
      <c r="T41" s="374"/>
      <c r="U41" s="374"/>
      <c r="V41" s="374"/>
      <c r="W41" s="374"/>
      <c r="X41" s="374"/>
    </row>
    <row r="42" spans="2:24" x14ac:dyDescent="0.25">
      <c r="B42" s="374"/>
      <c r="C42" s="425" t="s">
        <v>484</v>
      </c>
      <c r="D42" s="426" t="s">
        <v>37</v>
      </c>
      <c r="E42" s="427"/>
      <c r="F42" s="427"/>
      <c r="G42" s="428">
        <f>+G38+G41</f>
        <v>139.11666666666662</v>
      </c>
      <c r="H42" s="428">
        <f>+H38+H41</f>
        <v>139.11666666666662</v>
      </c>
      <c r="I42" s="428">
        <f>+I38+I41</f>
        <v>198.73333333333335</v>
      </c>
      <c r="J42" s="429">
        <f>+J38+J41</f>
        <v>206.03333333333342</v>
      </c>
      <c r="K42" s="501"/>
      <c r="L42" s="501"/>
      <c r="M42" s="501"/>
      <c r="N42" s="501"/>
      <c r="O42" s="501"/>
      <c r="P42" s="516"/>
      <c r="Q42" s="374"/>
      <c r="R42" s="374"/>
      <c r="S42" s="374"/>
      <c r="T42" s="374"/>
      <c r="U42" s="374"/>
      <c r="V42" s="374"/>
      <c r="W42" s="374"/>
      <c r="X42" s="374"/>
    </row>
    <row r="43" spans="2:24" hidden="1" outlineLevel="1" x14ac:dyDescent="0.25">
      <c r="B43" s="374"/>
      <c r="C43" s="419" t="s">
        <v>337</v>
      </c>
      <c r="D43" s="420" t="s">
        <v>41</v>
      </c>
      <c r="E43" s="419"/>
      <c r="F43" s="419"/>
      <c r="G43" s="430">
        <f>IFERROR(+G42/G27,"n/a")</f>
        <v>0.30025179856115097</v>
      </c>
      <c r="H43" s="430">
        <f>IFERROR(+H42/H27,"n/a")</f>
        <v>0.30025179856115097</v>
      </c>
      <c r="I43" s="430">
        <f>IFERROR(+I42/I27,"n/a")</f>
        <v>0.31712765957446809</v>
      </c>
      <c r="J43" s="431">
        <f>IFERROR(+J42/J27,"n/a")</f>
        <v>0.31860824742268051</v>
      </c>
      <c r="K43" s="517"/>
      <c r="L43" s="517"/>
      <c r="M43" s="517"/>
      <c r="N43" s="517"/>
      <c r="O43" s="517"/>
      <c r="P43" s="518"/>
      <c r="Q43" s="374"/>
      <c r="R43" s="374"/>
      <c r="S43" s="374"/>
      <c r="T43" s="374"/>
      <c r="U43" s="374"/>
      <c r="V43" s="374"/>
      <c r="W43" s="374"/>
      <c r="X43" s="374"/>
    </row>
    <row r="44" spans="2:24" ht="5.0999999999999996" customHeight="1" collapsed="1" x14ac:dyDescent="0.25">
      <c r="B44" s="374"/>
      <c r="D44" s="374"/>
      <c r="E44" s="374"/>
      <c r="F44" s="374"/>
      <c r="J44" s="432"/>
      <c r="K44" s="510"/>
      <c r="L44" s="510"/>
      <c r="M44" s="510"/>
      <c r="N44" s="510"/>
      <c r="O44" s="510"/>
      <c r="P44" s="519"/>
      <c r="Q44" s="374"/>
      <c r="R44" s="374"/>
      <c r="S44" s="374"/>
      <c r="T44" s="374"/>
      <c r="U44" s="374"/>
      <c r="V44" s="374"/>
      <c r="W44" s="374"/>
      <c r="X44" s="374"/>
    </row>
    <row r="45" spans="2:24" x14ac:dyDescent="0.25">
      <c r="B45" s="374"/>
      <c r="C45" s="374" t="s">
        <v>56</v>
      </c>
      <c r="D45" s="388" t="s">
        <v>37</v>
      </c>
      <c r="E45" s="374"/>
      <c r="F45" s="374"/>
      <c r="G45" s="681">
        <v>0</v>
      </c>
      <c r="H45" s="681">
        <v>0</v>
      </c>
      <c r="I45" s="681">
        <v>0</v>
      </c>
      <c r="J45" s="685">
        <v>0</v>
      </c>
      <c r="K45" s="512"/>
      <c r="L45" s="513"/>
      <c r="M45" s="513"/>
      <c r="N45" s="513"/>
      <c r="O45" s="514"/>
      <c r="P45" s="524"/>
      <c r="Q45" s="374"/>
      <c r="R45" s="392"/>
      <c r="S45" s="374"/>
      <c r="T45" s="374"/>
      <c r="U45" s="374"/>
      <c r="V45" s="374"/>
      <c r="W45" s="374"/>
      <c r="X45" s="374"/>
    </row>
    <row r="46" spans="2:24" x14ac:dyDescent="0.25">
      <c r="B46" s="374"/>
      <c r="C46" s="374" t="s">
        <v>57</v>
      </c>
      <c r="D46" s="388" t="s">
        <v>37</v>
      </c>
      <c r="E46" s="374"/>
      <c r="F46" s="374"/>
      <c r="G46" s="681">
        <v>0</v>
      </c>
      <c r="H46" s="681">
        <v>0</v>
      </c>
      <c r="I46" s="681">
        <v>0</v>
      </c>
      <c r="J46" s="685">
        <v>0</v>
      </c>
      <c r="K46" s="512"/>
      <c r="L46" s="513"/>
      <c r="M46" s="513"/>
      <c r="N46" s="513"/>
      <c r="O46" s="513"/>
      <c r="P46" s="524"/>
      <c r="Q46" s="374"/>
      <c r="R46" s="392" t="s">
        <v>487</v>
      </c>
      <c r="S46" s="374"/>
      <c r="T46" s="374"/>
      <c r="U46" s="374"/>
      <c r="V46" s="374"/>
      <c r="W46" s="374"/>
      <c r="X46" s="374"/>
    </row>
    <row r="47" spans="2:24" x14ac:dyDescent="0.25">
      <c r="B47" s="374"/>
      <c r="C47" s="374" t="s">
        <v>58</v>
      </c>
      <c r="D47" s="388" t="s">
        <v>37</v>
      </c>
      <c r="E47" s="374"/>
      <c r="F47" s="374"/>
      <c r="G47" s="681">
        <v>0</v>
      </c>
      <c r="H47" s="681">
        <v>0</v>
      </c>
      <c r="I47" s="681">
        <v>0</v>
      </c>
      <c r="J47" s="685">
        <v>0</v>
      </c>
      <c r="K47" s="512"/>
      <c r="L47" s="513"/>
      <c r="M47" s="513"/>
      <c r="N47" s="513"/>
      <c r="O47" s="513"/>
      <c r="P47" s="524"/>
      <c r="Q47" s="374"/>
      <c r="R47" s="392" t="s">
        <v>487</v>
      </c>
      <c r="S47" s="374"/>
      <c r="T47" s="374"/>
      <c r="U47" s="374"/>
      <c r="V47" s="374"/>
      <c r="W47" s="374"/>
      <c r="X47" s="374"/>
    </row>
    <row r="48" spans="2:24" x14ac:dyDescent="0.25">
      <c r="B48" s="374"/>
      <c r="C48" s="374" t="s">
        <v>59</v>
      </c>
      <c r="D48" s="388" t="s">
        <v>37</v>
      </c>
      <c r="E48" s="374"/>
      <c r="F48" s="374"/>
      <c r="G48" s="681">
        <v>0</v>
      </c>
      <c r="H48" s="681">
        <v>0</v>
      </c>
      <c r="I48" s="681">
        <v>0</v>
      </c>
      <c r="J48" s="685">
        <v>0</v>
      </c>
      <c r="K48" s="512"/>
      <c r="L48" s="513"/>
      <c r="M48" s="513"/>
      <c r="N48" s="513"/>
      <c r="O48" s="513"/>
      <c r="P48" s="524"/>
      <c r="Q48" s="374"/>
      <c r="R48" s="392" t="s">
        <v>487</v>
      </c>
      <c r="S48" s="374"/>
      <c r="T48" s="374"/>
      <c r="U48" s="374"/>
      <c r="V48" s="374"/>
      <c r="W48" s="374"/>
      <c r="X48" s="374"/>
    </row>
    <row r="49" spans="2:24" x14ac:dyDescent="0.25">
      <c r="B49" s="374"/>
      <c r="C49" s="374" t="s">
        <v>60</v>
      </c>
      <c r="D49" s="388" t="s">
        <v>37</v>
      </c>
      <c r="E49" s="374"/>
      <c r="F49" s="374"/>
      <c r="G49" s="681">
        <v>0</v>
      </c>
      <c r="H49" s="681">
        <v>0</v>
      </c>
      <c r="I49" s="681">
        <v>0</v>
      </c>
      <c r="J49" s="685">
        <v>0</v>
      </c>
      <c r="K49" s="512"/>
      <c r="L49" s="513"/>
      <c r="M49" s="513"/>
      <c r="N49" s="513"/>
      <c r="O49" s="513"/>
      <c r="P49" s="524"/>
      <c r="Q49" s="374"/>
      <c r="R49" s="392" t="s">
        <v>487</v>
      </c>
      <c r="S49" s="374"/>
      <c r="T49" s="374"/>
      <c r="U49" s="374"/>
      <c r="V49" s="374"/>
      <c r="W49" s="374"/>
      <c r="X49" s="374"/>
    </row>
    <row r="50" spans="2:24" x14ac:dyDescent="0.25">
      <c r="B50" s="374"/>
      <c r="C50" s="374" t="s">
        <v>61</v>
      </c>
      <c r="D50" s="388" t="s">
        <v>37</v>
      </c>
      <c r="E50" s="374"/>
      <c r="F50" s="374"/>
      <c r="G50" s="681">
        <v>0</v>
      </c>
      <c r="H50" s="681">
        <v>0</v>
      </c>
      <c r="I50" s="681">
        <v>0</v>
      </c>
      <c r="J50" s="685">
        <v>0</v>
      </c>
      <c r="K50" s="512"/>
      <c r="L50" s="513"/>
      <c r="M50" s="513"/>
      <c r="N50" s="513"/>
      <c r="O50" s="513"/>
      <c r="P50" s="524"/>
      <c r="Q50" s="374"/>
      <c r="R50" s="392" t="s">
        <v>487</v>
      </c>
      <c r="S50" s="374"/>
      <c r="T50" s="374"/>
      <c r="U50" s="374"/>
      <c r="V50" s="374"/>
      <c r="W50" s="374"/>
      <c r="X50" s="374"/>
    </row>
    <row r="51" spans="2:24" x14ac:dyDescent="0.25">
      <c r="B51" s="374"/>
      <c r="C51" s="374" t="s">
        <v>483</v>
      </c>
      <c r="D51" s="388" t="s">
        <v>37</v>
      </c>
      <c r="E51" s="374"/>
      <c r="F51" s="374"/>
      <c r="G51" s="681">
        <v>0</v>
      </c>
      <c r="H51" s="681">
        <v>0</v>
      </c>
      <c r="I51" s="681">
        <v>0</v>
      </c>
      <c r="J51" s="685">
        <v>0</v>
      </c>
      <c r="K51" s="512"/>
      <c r="L51" s="513"/>
      <c r="M51" s="513"/>
      <c r="N51" s="513"/>
      <c r="O51" s="513"/>
      <c r="P51" s="524"/>
      <c r="Q51" s="374"/>
      <c r="R51" s="392" t="s">
        <v>487</v>
      </c>
      <c r="S51" s="374"/>
      <c r="T51" s="374"/>
      <c r="U51" s="374"/>
      <c r="V51" s="374"/>
      <c r="W51" s="374"/>
      <c r="X51" s="374"/>
    </row>
    <row r="52" spans="2:24" x14ac:dyDescent="0.25">
      <c r="B52" s="374"/>
      <c r="C52" s="374" t="s">
        <v>62</v>
      </c>
      <c r="D52" s="388" t="s">
        <v>37</v>
      </c>
      <c r="E52" s="374"/>
      <c r="F52" s="374"/>
      <c r="G52" s="681">
        <v>0</v>
      </c>
      <c r="H52" s="681">
        <v>0</v>
      </c>
      <c r="I52" s="681">
        <v>0</v>
      </c>
      <c r="J52" s="685">
        <v>0</v>
      </c>
      <c r="K52" s="497"/>
      <c r="L52" s="498"/>
      <c r="M52" s="498"/>
      <c r="N52" s="498"/>
      <c r="O52" s="498"/>
      <c r="P52" s="525"/>
      <c r="Q52" s="374"/>
      <c r="R52" s="392" t="s">
        <v>487</v>
      </c>
      <c r="S52" s="374"/>
      <c r="T52" s="374"/>
      <c r="U52" s="374"/>
      <c r="V52" s="374"/>
      <c r="W52" s="374"/>
      <c r="X52" s="374"/>
    </row>
    <row r="53" spans="2:24" x14ac:dyDescent="0.25">
      <c r="B53" s="374"/>
      <c r="C53" s="425" t="s">
        <v>500</v>
      </c>
      <c r="D53" s="426" t="s">
        <v>37</v>
      </c>
      <c r="E53" s="427"/>
      <c r="F53" s="427"/>
      <c r="G53" s="428">
        <f>+SUM(G42,G45:G52)</f>
        <v>139.11666666666662</v>
      </c>
      <c r="H53" s="428">
        <f>+SUM(H42,H45:H52)</f>
        <v>139.11666666666662</v>
      </c>
      <c r="I53" s="428">
        <f>+SUM(I42,I45:I52)</f>
        <v>198.73333333333335</v>
      </c>
      <c r="J53" s="429">
        <f>+SUM(J42,J45:J52)</f>
        <v>206.03333333333342</v>
      </c>
      <c r="K53" s="501"/>
      <c r="L53" s="501"/>
      <c r="M53" s="501"/>
      <c r="N53" s="501"/>
      <c r="O53" s="501"/>
      <c r="P53" s="516"/>
      <c r="Q53" s="374"/>
      <c r="R53" s="374"/>
      <c r="S53" s="374"/>
      <c r="T53" s="374"/>
      <c r="U53" s="374"/>
      <c r="V53" s="374"/>
      <c r="W53" s="374"/>
      <c r="X53" s="374"/>
    </row>
    <row r="54" spans="2:24" hidden="1" outlineLevel="1" x14ac:dyDescent="0.25">
      <c r="B54" s="374"/>
      <c r="C54" s="419" t="s">
        <v>338</v>
      </c>
      <c r="D54" s="420" t="s">
        <v>41</v>
      </c>
      <c r="E54" s="419"/>
      <c r="F54" s="419"/>
      <c r="G54" s="430">
        <f>IFERROR(+G53/G27,"n/a")</f>
        <v>0.30025179856115097</v>
      </c>
      <c r="H54" s="430">
        <f>IFERROR(+H53/H27,"n/a")</f>
        <v>0.30025179856115097</v>
      </c>
      <c r="I54" s="430">
        <f>IFERROR(+I53/I27,"n/a")</f>
        <v>0.31712765957446809</v>
      </c>
      <c r="J54" s="431">
        <f>IFERROR(+J53/J27,"n/a")</f>
        <v>0.31860824742268051</v>
      </c>
      <c r="K54" s="517"/>
      <c r="L54" s="517"/>
      <c r="M54" s="517"/>
      <c r="N54" s="517"/>
      <c r="O54" s="517"/>
      <c r="P54" s="518"/>
      <c r="Q54" s="374"/>
      <c r="R54" s="374"/>
      <c r="S54" s="374"/>
      <c r="T54" s="374"/>
      <c r="U54" s="374"/>
      <c r="V54" s="374"/>
      <c r="W54" s="374"/>
      <c r="X54" s="374"/>
    </row>
    <row r="55" spans="2:24" ht="5.0999999999999996" customHeight="1" collapsed="1" x14ac:dyDescent="0.25">
      <c r="B55" s="374"/>
      <c r="D55" s="374"/>
      <c r="E55" s="374"/>
      <c r="F55" s="374"/>
      <c r="J55" s="432"/>
      <c r="K55" s="510"/>
      <c r="L55" s="510"/>
      <c r="M55" s="510"/>
      <c r="N55" s="510"/>
      <c r="O55" s="510"/>
      <c r="P55" s="519"/>
      <c r="Q55" s="374"/>
      <c r="R55" s="374"/>
      <c r="S55" s="374"/>
      <c r="T55" s="374"/>
      <c r="U55" s="374"/>
      <c r="V55" s="374"/>
      <c r="W55" s="374"/>
      <c r="X55" s="374"/>
    </row>
    <row r="56" spans="2:24" x14ac:dyDescent="0.25">
      <c r="B56" s="374"/>
      <c r="C56" s="374" t="s">
        <v>197</v>
      </c>
      <c r="D56" s="388" t="s">
        <v>37</v>
      </c>
      <c r="E56" s="374"/>
      <c r="F56" s="374"/>
      <c r="G56" s="681">
        <v>0</v>
      </c>
      <c r="H56" s="681">
        <v>0</v>
      </c>
      <c r="I56" s="681">
        <v>0</v>
      </c>
      <c r="J56" s="685">
        <v>0</v>
      </c>
      <c r="K56" s="526"/>
      <c r="L56" s="527"/>
      <c r="M56" s="527"/>
      <c r="N56" s="527"/>
      <c r="O56" s="527"/>
      <c r="P56" s="528"/>
      <c r="Q56" s="374"/>
      <c r="R56" s="374"/>
      <c r="S56" s="374"/>
      <c r="T56" s="374"/>
      <c r="U56" s="374"/>
      <c r="V56" s="374"/>
      <c r="W56" s="374"/>
      <c r="X56" s="374"/>
    </row>
    <row r="57" spans="2:24" x14ac:dyDescent="0.25">
      <c r="B57" s="374"/>
      <c r="C57" s="374" t="s">
        <v>196</v>
      </c>
      <c r="D57" s="388" t="s">
        <v>37</v>
      </c>
      <c r="E57" s="374"/>
      <c r="F57" s="374"/>
      <c r="G57" s="679">
        <f>+G27*0.005*-1</f>
        <v>-2.3166666666666669</v>
      </c>
      <c r="H57" s="679">
        <f t="shared" ref="H57:J57" si="1">+H27*0.005*-1</f>
        <v>-2.3166666666666669</v>
      </c>
      <c r="I57" s="679">
        <f t="shared" si="1"/>
        <v>-3.1333333333333337</v>
      </c>
      <c r="J57" s="679">
        <f t="shared" si="1"/>
        <v>-3.2333333333333338</v>
      </c>
      <c r="K57" s="520"/>
      <c r="L57" s="521"/>
      <c r="M57" s="521"/>
      <c r="N57" s="521"/>
      <c r="O57" s="521"/>
      <c r="P57" s="523"/>
      <c r="Q57" s="374"/>
      <c r="R57" s="374"/>
      <c r="S57" s="374"/>
      <c r="T57" s="374"/>
      <c r="U57" s="374"/>
      <c r="V57" s="374"/>
      <c r="W57" s="374"/>
      <c r="X57" s="374"/>
    </row>
    <row r="58" spans="2:24" x14ac:dyDescent="0.25">
      <c r="B58" s="374"/>
      <c r="C58" s="425" t="s">
        <v>359</v>
      </c>
      <c r="D58" s="426" t="s">
        <v>37</v>
      </c>
      <c r="E58" s="427"/>
      <c r="F58" s="427"/>
      <c r="G58" s="428">
        <f>+G53+SUM(G56:G57)</f>
        <v>136.79999999999995</v>
      </c>
      <c r="H58" s="428">
        <f>+H53+SUM(H56:H57)</f>
        <v>136.79999999999995</v>
      </c>
      <c r="I58" s="428">
        <f>+I53+SUM(I56:I57)</f>
        <v>195.60000000000002</v>
      </c>
      <c r="J58" s="429">
        <f>+J53+SUM(J56:J57)</f>
        <v>202.8000000000001</v>
      </c>
      <c r="K58" s="501"/>
      <c r="L58" s="501"/>
      <c r="M58" s="501"/>
      <c r="N58" s="501"/>
      <c r="O58" s="501"/>
      <c r="P58" s="516"/>
      <c r="Q58" s="374"/>
      <c r="R58" s="374"/>
      <c r="S58" s="374"/>
      <c r="T58" s="374"/>
      <c r="U58" s="374"/>
      <c r="V58" s="374"/>
      <c r="W58" s="374"/>
      <c r="X58" s="374"/>
    </row>
    <row r="59" spans="2:24" hidden="1" outlineLevel="1" x14ac:dyDescent="0.25">
      <c r="B59" s="374"/>
      <c r="C59" s="419" t="s">
        <v>339</v>
      </c>
      <c r="D59" s="420" t="s">
        <v>41</v>
      </c>
      <c r="E59" s="419"/>
      <c r="F59" s="419"/>
      <c r="G59" s="430">
        <f>IFERROR(+G58/G27,"n/a")</f>
        <v>0.29525179856115097</v>
      </c>
      <c r="H59" s="430">
        <f>IFERROR(+H58/H27,"n/a")</f>
        <v>0.29525179856115097</v>
      </c>
      <c r="I59" s="430">
        <f>IFERROR(+I58/I27,"n/a")</f>
        <v>0.31212765957446809</v>
      </c>
      <c r="J59" s="431">
        <f>IFERROR(+J58/J27,"n/a")</f>
        <v>0.31360824742268051</v>
      </c>
      <c r="K59" s="517"/>
      <c r="L59" s="517"/>
      <c r="M59" s="517"/>
      <c r="N59" s="517"/>
      <c r="O59" s="517"/>
      <c r="P59" s="518"/>
      <c r="Q59" s="374"/>
      <c r="R59" s="374"/>
      <c r="S59" s="374"/>
      <c r="T59" s="374"/>
      <c r="U59" s="374"/>
      <c r="V59" s="374"/>
      <c r="W59" s="374"/>
      <c r="X59" s="374"/>
    </row>
    <row r="60" spans="2:24" ht="5.0999999999999996" customHeight="1" collapsed="1" x14ac:dyDescent="0.25">
      <c r="B60" s="374"/>
      <c r="D60" s="374"/>
      <c r="E60" s="374"/>
      <c r="F60" s="374"/>
      <c r="J60" s="432"/>
      <c r="K60" s="510"/>
      <c r="L60" s="510"/>
      <c r="M60" s="510"/>
      <c r="N60" s="510"/>
      <c r="O60" s="510"/>
      <c r="P60" s="519"/>
      <c r="Q60" s="374"/>
      <c r="R60" s="374"/>
      <c r="S60" s="374"/>
      <c r="T60" s="374"/>
      <c r="U60" s="374"/>
      <c r="V60" s="374"/>
      <c r="W60" s="374"/>
      <c r="X60" s="374"/>
    </row>
    <row r="61" spans="2:24" x14ac:dyDescent="0.25">
      <c r="B61" s="374"/>
      <c r="C61" s="374" t="s">
        <v>52</v>
      </c>
      <c r="D61" s="388" t="s">
        <v>37</v>
      </c>
      <c r="E61" s="374"/>
      <c r="F61" s="374"/>
      <c r="G61" s="679">
        <v>-30</v>
      </c>
      <c r="H61" s="679">
        <v>-35</v>
      </c>
      <c r="I61" s="679">
        <v>-40</v>
      </c>
      <c r="J61" s="680">
        <v>-40</v>
      </c>
      <c r="K61" s="520"/>
      <c r="L61" s="521"/>
      <c r="M61" s="521"/>
      <c r="N61" s="521"/>
      <c r="O61" s="521"/>
      <c r="P61" s="523"/>
      <c r="Q61" s="374"/>
      <c r="R61" s="374"/>
      <c r="S61" s="374"/>
      <c r="T61" s="374"/>
      <c r="U61" s="374"/>
      <c r="V61" s="374"/>
      <c r="W61" s="374"/>
      <c r="X61" s="374"/>
    </row>
    <row r="62" spans="2:24" x14ac:dyDescent="0.25">
      <c r="B62" s="374"/>
      <c r="C62" s="425" t="s">
        <v>53</v>
      </c>
      <c r="D62" s="426" t="s">
        <v>37</v>
      </c>
      <c r="E62" s="427"/>
      <c r="F62" s="427"/>
      <c r="G62" s="428">
        <f>+G58+G61</f>
        <v>106.79999999999995</v>
      </c>
      <c r="H62" s="428">
        <f>+H58+H61</f>
        <v>101.79999999999995</v>
      </c>
      <c r="I62" s="428">
        <f>+I58+I61</f>
        <v>155.60000000000002</v>
      </c>
      <c r="J62" s="429">
        <f>+J58+J61</f>
        <v>162.8000000000001</v>
      </c>
      <c r="K62" s="501"/>
      <c r="L62" s="501"/>
      <c r="M62" s="501"/>
      <c r="N62" s="501"/>
      <c r="O62" s="501"/>
      <c r="P62" s="516"/>
      <c r="Q62" s="374"/>
      <c r="R62" s="374"/>
      <c r="S62" s="374"/>
      <c r="T62" s="374"/>
      <c r="U62" s="374"/>
      <c r="V62" s="374"/>
      <c r="W62" s="374"/>
      <c r="X62" s="374"/>
    </row>
    <row r="63" spans="2:24" x14ac:dyDescent="0.25">
      <c r="B63" s="374"/>
      <c r="D63" s="374"/>
      <c r="E63" s="374"/>
      <c r="F63" s="374"/>
      <c r="K63" s="374"/>
      <c r="L63" s="374"/>
      <c r="M63" s="374"/>
      <c r="N63" s="374"/>
      <c r="O63" s="374"/>
      <c r="P63" s="374"/>
      <c r="Q63" s="374"/>
      <c r="R63" s="374"/>
      <c r="S63" s="374"/>
      <c r="T63" s="374"/>
      <c r="U63" s="374"/>
      <c r="V63" s="374"/>
      <c r="W63" s="374"/>
      <c r="X63" s="374"/>
    </row>
    <row r="64" spans="2:24" x14ac:dyDescent="0.25">
      <c r="B64" s="374"/>
      <c r="D64" s="374"/>
      <c r="E64" s="374"/>
      <c r="F64" s="374"/>
    </row>
    <row r="65" spans="1:19" ht="22.5" x14ac:dyDescent="0.35">
      <c r="A65" s="387" t="s">
        <v>55</v>
      </c>
      <c r="B65" s="374"/>
      <c r="C65" s="387"/>
      <c r="D65" s="374"/>
      <c r="E65" s="374"/>
      <c r="F65" s="374"/>
    </row>
    <row r="66" spans="1:19" x14ac:dyDescent="0.25"/>
    <row r="67" spans="1:19" ht="22.5" x14ac:dyDescent="0.35">
      <c r="B67" s="374"/>
      <c r="C67" s="462" t="s">
        <v>154</v>
      </c>
      <c r="D67" s="374"/>
      <c r="E67" s="374"/>
      <c r="F67" s="374"/>
      <c r="G67" s="412"/>
      <c r="H67" s="412"/>
      <c r="I67" s="412"/>
      <c r="J67" s="413" t="s">
        <v>38</v>
      </c>
      <c r="K67" s="480" t="str">
        <f>+K25</f>
        <v>Detailplanungsphase</v>
      </c>
      <c r="L67" s="480"/>
      <c r="M67" s="480"/>
      <c r="N67" s="480"/>
      <c r="O67" s="480"/>
      <c r="P67" s="481" t="s">
        <v>104</v>
      </c>
    </row>
    <row r="68" spans="1:19" x14ac:dyDescent="0.25">
      <c r="B68" s="374"/>
      <c r="D68" s="374"/>
      <c r="E68" s="374"/>
      <c r="F68" s="374"/>
      <c r="G68" s="414">
        <f ca="1">+G$26</f>
        <v>2023</v>
      </c>
      <c r="H68" s="414">
        <f ca="1">+H$26</f>
        <v>2024</v>
      </c>
      <c r="I68" s="414">
        <f ca="1">+I$26</f>
        <v>2025</v>
      </c>
      <c r="J68" s="415">
        <f ca="1">+J$26</f>
        <v>2026</v>
      </c>
      <c r="K68" s="482">
        <f ca="1">+J68+1</f>
        <v>2027</v>
      </c>
      <c r="L68" s="483">
        <f ca="1">+K68+1</f>
        <v>2028</v>
      </c>
      <c r="M68" s="483">
        <f ca="1">+L68+1</f>
        <v>2029</v>
      </c>
      <c r="N68" s="483">
        <f ca="1">+M68+1</f>
        <v>2030</v>
      </c>
      <c r="O68" s="484">
        <f ca="1">+N68+1</f>
        <v>2031</v>
      </c>
      <c r="P68" s="485">
        <f ca="1">+OFFSET(J68,,'2. Input_Allgemein'!$E$36)+1</f>
        <v>2032</v>
      </c>
      <c r="R68" s="374"/>
      <c r="S68" s="374"/>
    </row>
    <row r="69" spans="1:19" x14ac:dyDescent="0.25">
      <c r="C69" s="374" t="s">
        <v>173</v>
      </c>
      <c r="D69" s="374"/>
      <c r="E69" s="374"/>
      <c r="F69" s="374"/>
      <c r="G69" s="463"/>
      <c r="H69" s="433">
        <f>+G74</f>
        <v>320</v>
      </c>
      <c r="I69" s="433">
        <f>+H74</f>
        <v>340</v>
      </c>
      <c r="J69" s="418">
        <f>+I74</f>
        <v>360</v>
      </c>
      <c r="K69" s="530"/>
      <c r="L69" s="530"/>
      <c r="M69" s="530"/>
      <c r="N69" s="530"/>
      <c r="O69" s="531"/>
      <c r="P69" s="532"/>
      <c r="R69" s="374"/>
      <c r="S69" s="374"/>
    </row>
    <row r="70" spans="1:19" x14ac:dyDescent="0.25">
      <c r="C70" s="464" t="s">
        <v>85</v>
      </c>
      <c r="D70" s="374"/>
      <c r="E70" s="374"/>
      <c r="F70" s="374"/>
      <c r="G70" s="465"/>
      <c r="H70" s="435">
        <f>IF(H74-H73-H69&gt;0,+H74-H73-H69,0)</f>
        <v>50</v>
      </c>
      <c r="I70" s="435">
        <f>IF(I74-I73-I69&gt;0,+I74-I73-I69,0)</f>
        <v>50</v>
      </c>
      <c r="J70" s="436">
        <f>IF(J74-J73-J69&gt;0,+J74-J73-J69,0)</f>
        <v>50</v>
      </c>
      <c r="K70" s="513"/>
      <c r="L70" s="513"/>
      <c r="M70" s="513"/>
      <c r="N70" s="513"/>
      <c r="O70" s="514"/>
      <c r="P70" s="515"/>
      <c r="R70" s="392" t="s">
        <v>491</v>
      </c>
      <c r="S70" s="374"/>
    </row>
    <row r="71" spans="1:19" x14ac:dyDescent="0.25">
      <c r="C71" s="464" t="s">
        <v>145</v>
      </c>
      <c r="D71" s="374"/>
      <c r="E71" s="374"/>
      <c r="F71" s="374"/>
      <c r="G71" s="465"/>
      <c r="H71" s="435">
        <f>IF(H74-H73-H69&lt;0,+H74-H73-H69,0)</f>
        <v>0</v>
      </c>
      <c r="I71" s="435">
        <f>IF(I74-I73-I69&lt;0,+I74-I73-I69,0)</f>
        <v>0</v>
      </c>
      <c r="J71" s="436">
        <f>IF(J74-J73-J69&lt;0,+J74-J73-J69,0)</f>
        <v>0</v>
      </c>
      <c r="K71" s="513"/>
      <c r="L71" s="513"/>
      <c r="M71" s="513"/>
      <c r="N71" s="513"/>
      <c r="O71" s="514"/>
      <c r="P71" s="515"/>
      <c r="R71" s="392" t="s">
        <v>490</v>
      </c>
      <c r="S71" s="374"/>
    </row>
    <row r="72" spans="1:19" x14ac:dyDescent="0.25">
      <c r="C72" s="464" t="s">
        <v>146</v>
      </c>
      <c r="D72" s="374"/>
      <c r="E72" s="374"/>
      <c r="F72" s="374"/>
      <c r="G72" s="465"/>
      <c r="H72" s="682">
        <v>0</v>
      </c>
      <c r="I72" s="682">
        <v>0</v>
      </c>
      <c r="J72" s="686">
        <v>0</v>
      </c>
      <c r="K72" s="513"/>
      <c r="L72" s="513"/>
      <c r="M72" s="513"/>
      <c r="N72" s="513"/>
      <c r="O72" s="514"/>
      <c r="P72" s="515"/>
      <c r="R72" s="392" t="s">
        <v>492</v>
      </c>
      <c r="S72" s="374"/>
    </row>
    <row r="73" spans="1:19" x14ac:dyDescent="0.25">
      <c r="C73" s="464" t="s">
        <v>147</v>
      </c>
      <c r="D73" s="374"/>
      <c r="E73" s="374"/>
      <c r="F73" s="374"/>
      <c r="G73" s="437">
        <f>+G41</f>
        <v>-30</v>
      </c>
      <c r="H73" s="437">
        <f>+H41</f>
        <v>-30</v>
      </c>
      <c r="I73" s="437">
        <f>+I41</f>
        <v>-30</v>
      </c>
      <c r="J73" s="438">
        <f>+J41</f>
        <v>-30</v>
      </c>
      <c r="K73" s="521"/>
      <c r="L73" s="521"/>
      <c r="M73" s="521"/>
      <c r="N73" s="521"/>
      <c r="O73" s="522"/>
      <c r="P73" s="500"/>
      <c r="R73" s="392" t="s">
        <v>488</v>
      </c>
      <c r="S73" s="374"/>
    </row>
    <row r="74" spans="1:19" x14ac:dyDescent="0.25">
      <c r="C74" s="425" t="s">
        <v>174</v>
      </c>
      <c r="D74" s="426"/>
      <c r="E74" s="427"/>
      <c r="F74" s="416"/>
      <c r="G74" s="428">
        <v>320</v>
      </c>
      <c r="H74" s="428">
        <v>340</v>
      </c>
      <c r="I74" s="428">
        <v>360</v>
      </c>
      <c r="J74" s="429">
        <v>380</v>
      </c>
      <c r="K74" s="501"/>
      <c r="L74" s="501"/>
      <c r="M74" s="501"/>
      <c r="N74" s="501"/>
      <c r="O74" s="502"/>
      <c r="P74" s="503"/>
      <c r="R74" s="374"/>
      <c r="S74" s="374"/>
    </row>
    <row r="75" spans="1:19" ht="5.0999999999999996" customHeight="1" x14ac:dyDescent="0.25">
      <c r="D75" s="374"/>
      <c r="E75" s="374"/>
      <c r="F75" s="374"/>
      <c r="J75" s="432"/>
      <c r="K75" s="510"/>
      <c r="L75" s="510"/>
      <c r="M75" s="510"/>
      <c r="N75" s="510"/>
      <c r="O75" s="511"/>
      <c r="P75" s="533"/>
      <c r="R75" s="374"/>
      <c r="S75" s="374"/>
    </row>
    <row r="76" spans="1:19" x14ac:dyDescent="0.25">
      <c r="C76" s="374" t="s">
        <v>148</v>
      </c>
      <c r="D76" s="374"/>
      <c r="E76" s="374"/>
      <c r="F76" s="374"/>
      <c r="G76" s="687">
        <v>0</v>
      </c>
      <c r="H76" s="687">
        <v>0</v>
      </c>
      <c r="I76" s="687">
        <v>0</v>
      </c>
      <c r="J76" s="688">
        <v>0</v>
      </c>
      <c r="K76" s="498"/>
      <c r="L76" s="498"/>
      <c r="M76" s="498"/>
      <c r="N76" s="498"/>
      <c r="O76" s="499"/>
      <c r="P76" s="500"/>
      <c r="R76" s="374"/>
      <c r="S76" s="374"/>
    </row>
    <row r="77" spans="1:19" x14ac:dyDescent="0.25">
      <c r="C77" s="425" t="s">
        <v>148</v>
      </c>
      <c r="D77" s="426"/>
      <c r="E77" s="427"/>
      <c r="F77" s="427"/>
      <c r="G77" s="428">
        <f>+G76</f>
        <v>0</v>
      </c>
      <c r="H77" s="428">
        <f>+H76</f>
        <v>0</v>
      </c>
      <c r="I77" s="428">
        <f>+I76</f>
        <v>0</v>
      </c>
      <c r="J77" s="429">
        <f>+J76</f>
        <v>0</v>
      </c>
      <c r="K77" s="501"/>
      <c r="L77" s="501"/>
      <c r="M77" s="501"/>
      <c r="N77" s="501"/>
      <c r="O77" s="502"/>
      <c r="P77" s="503"/>
      <c r="R77" s="374"/>
      <c r="S77" s="374"/>
    </row>
    <row r="78" spans="1:19" ht="5.0999999999999996" customHeight="1" x14ac:dyDescent="0.25">
      <c r="D78" s="374"/>
      <c r="E78" s="374"/>
      <c r="F78" s="374"/>
      <c r="J78" s="432"/>
      <c r="K78" s="510"/>
      <c r="L78" s="510"/>
      <c r="M78" s="510"/>
      <c r="N78" s="510"/>
      <c r="O78" s="511"/>
      <c r="P78" s="533"/>
      <c r="R78" s="374"/>
      <c r="S78" s="374"/>
    </row>
    <row r="79" spans="1:19" x14ac:dyDescent="0.25">
      <c r="C79" s="374" t="s">
        <v>66</v>
      </c>
      <c r="D79" s="374"/>
      <c r="E79" s="374"/>
      <c r="F79" s="374"/>
      <c r="G79" s="682">
        <f>+G27*0.2</f>
        <v>92.666666666666686</v>
      </c>
      <c r="H79" s="682">
        <f t="shared" ref="H79:J79" si="2">+H27*0.2</f>
        <v>92.666666666666686</v>
      </c>
      <c r="I79" s="682">
        <f t="shared" si="2"/>
        <v>125.33333333333336</v>
      </c>
      <c r="J79" s="686">
        <f t="shared" si="2"/>
        <v>129.33333333333334</v>
      </c>
      <c r="K79" s="513"/>
      <c r="L79" s="513"/>
      <c r="M79" s="513"/>
      <c r="N79" s="513"/>
      <c r="O79" s="514"/>
      <c r="P79" s="534"/>
      <c r="R79" s="374"/>
      <c r="S79" s="374"/>
    </row>
    <row r="80" spans="1:19" x14ac:dyDescent="0.25">
      <c r="C80" s="374" t="s">
        <v>149</v>
      </c>
      <c r="D80" s="374"/>
      <c r="E80" s="374"/>
      <c r="F80" s="374"/>
      <c r="G80" s="682">
        <f>+G27*0.25</f>
        <v>115.83333333333334</v>
      </c>
      <c r="H80" s="682">
        <f t="shared" ref="H80:J80" si="3">+H27*0.25</f>
        <v>115.83333333333334</v>
      </c>
      <c r="I80" s="682">
        <f t="shared" si="3"/>
        <v>156.66666666666669</v>
      </c>
      <c r="J80" s="686">
        <f t="shared" si="3"/>
        <v>161.66666666666669</v>
      </c>
      <c r="K80" s="513"/>
      <c r="L80" s="513"/>
      <c r="M80" s="513"/>
      <c r="N80" s="513"/>
      <c r="O80" s="514"/>
      <c r="P80" s="534"/>
      <c r="R80" s="374"/>
      <c r="S80" s="374"/>
    </row>
    <row r="81" spans="3:19" x14ac:dyDescent="0.25">
      <c r="C81" s="374" t="s">
        <v>150</v>
      </c>
      <c r="D81" s="374"/>
      <c r="E81" s="374"/>
      <c r="F81" s="374"/>
      <c r="G81" s="682">
        <v>0</v>
      </c>
      <c r="H81" s="682">
        <v>0</v>
      </c>
      <c r="I81" s="682">
        <v>0</v>
      </c>
      <c r="J81" s="686">
        <v>0</v>
      </c>
      <c r="K81" s="513"/>
      <c r="L81" s="513"/>
      <c r="M81" s="513"/>
      <c r="N81" s="513"/>
      <c r="O81" s="514"/>
      <c r="P81" s="534"/>
      <c r="R81" s="374"/>
      <c r="S81" s="374"/>
    </row>
    <row r="82" spans="3:19" x14ac:dyDescent="0.25">
      <c r="C82" s="689" t="s">
        <v>151</v>
      </c>
      <c r="G82" s="682">
        <v>0</v>
      </c>
      <c r="H82" s="682">
        <v>0</v>
      </c>
      <c r="I82" s="682">
        <v>0</v>
      </c>
      <c r="J82" s="686">
        <v>0</v>
      </c>
      <c r="K82" s="513"/>
      <c r="L82" s="513"/>
      <c r="M82" s="513"/>
      <c r="N82" s="513"/>
      <c r="O82" s="514"/>
      <c r="P82" s="534"/>
      <c r="R82" s="392" t="s">
        <v>489</v>
      </c>
      <c r="S82" s="374"/>
    </row>
    <row r="83" spans="3:19" x14ac:dyDescent="0.25">
      <c r="C83" s="689" t="s">
        <v>151</v>
      </c>
      <c r="G83" s="687">
        <v>0</v>
      </c>
      <c r="H83" s="687">
        <v>0</v>
      </c>
      <c r="I83" s="687">
        <v>0</v>
      </c>
      <c r="J83" s="688">
        <v>0</v>
      </c>
      <c r="K83" s="498"/>
      <c r="L83" s="498"/>
      <c r="M83" s="498"/>
      <c r="N83" s="498"/>
      <c r="O83" s="499"/>
      <c r="P83" s="535"/>
      <c r="R83" s="392" t="s">
        <v>489</v>
      </c>
      <c r="S83" s="374"/>
    </row>
    <row r="84" spans="3:19" x14ac:dyDescent="0.25">
      <c r="C84" s="489" t="s">
        <v>152</v>
      </c>
      <c r="D84" s="426"/>
      <c r="E84" s="427"/>
      <c r="F84" s="416"/>
      <c r="G84" s="428">
        <f>+SUM(G79:G83)</f>
        <v>208.50000000000003</v>
      </c>
      <c r="H84" s="428">
        <f>+SUM(H79:H83)</f>
        <v>208.50000000000003</v>
      </c>
      <c r="I84" s="428">
        <f>+SUM(I79:I83)</f>
        <v>282.00000000000006</v>
      </c>
      <c r="J84" s="429">
        <f>+SUM(J79:J83)</f>
        <v>291</v>
      </c>
      <c r="K84" s="501"/>
      <c r="L84" s="501"/>
      <c r="M84" s="501"/>
      <c r="N84" s="501"/>
      <c r="O84" s="502"/>
      <c r="P84" s="503"/>
      <c r="R84" s="374"/>
      <c r="S84" s="374"/>
    </row>
    <row r="85" spans="3:19" ht="5.0999999999999996" customHeight="1" x14ac:dyDescent="0.25">
      <c r="J85" s="432"/>
      <c r="K85" s="510"/>
      <c r="L85" s="510"/>
      <c r="M85" s="510"/>
      <c r="N85" s="510"/>
      <c r="O85" s="511"/>
      <c r="P85" s="533"/>
      <c r="R85" s="374"/>
      <c r="S85" s="374"/>
    </row>
    <row r="86" spans="3:19" x14ac:dyDescent="0.25">
      <c r="C86" s="425" t="s">
        <v>153</v>
      </c>
      <c r="D86" s="426"/>
      <c r="E86" s="427"/>
      <c r="F86" s="427"/>
      <c r="G86" s="428">
        <f>+G152</f>
        <v>-254.03333333333342</v>
      </c>
      <c r="H86" s="428">
        <f>+H152</f>
        <v>-172.23333333333346</v>
      </c>
      <c r="I86" s="428">
        <f>+I152</f>
        <v>-77.466666666666782</v>
      </c>
      <c r="J86" s="429">
        <f>+J152</f>
        <v>60.333333333333343</v>
      </c>
      <c r="K86" s="501"/>
      <c r="L86" s="501"/>
      <c r="M86" s="501"/>
      <c r="N86" s="501"/>
      <c r="O86" s="502"/>
      <c r="P86" s="503"/>
      <c r="R86" s="392" t="s">
        <v>522</v>
      </c>
      <c r="S86" s="374"/>
    </row>
    <row r="87" spans="3:19" ht="5.0999999999999996" customHeight="1" x14ac:dyDescent="0.25">
      <c r="D87" s="374"/>
      <c r="E87" s="374"/>
      <c r="F87" s="374"/>
      <c r="J87" s="432"/>
      <c r="K87" s="510"/>
      <c r="L87" s="510"/>
      <c r="M87" s="510"/>
      <c r="N87" s="510"/>
      <c r="O87" s="511"/>
      <c r="P87" s="533"/>
      <c r="R87" s="374"/>
      <c r="S87" s="374"/>
    </row>
    <row r="88" spans="3:19" x14ac:dyDescent="0.25">
      <c r="C88" s="374" t="s">
        <v>163</v>
      </c>
      <c r="D88" s="374"/>
      <c r="E88" s="374"/>
      <c r="F88" s="416"/>
      <c r="G88" s="465"/>
      <c r="H88" s="465"/>
      <c r="I88" s="465"/>
      <c r="J88" s="466"/>
      <c r="K88" s="536"/>
      <c r="L88" s="536"/>
      <c r="M88" s="536"/>
      <c r="N88" s="536"/>
      <c r="O88" s="537"/>
      <c r="P88" s="538"/>
      <c r="R88" s="374"/>
      <c r="S88" s="374"/>
    </row>
    <row r="89" spans="3:19" ht="5.0999999999999996" customHeight="1" thickBot="1" x14ac:dyDescent="0.3">
      <c r="D89" s="374"/>
      <c r="E89" s="374"/>
      <c r="F89" s="374"/>
      <c r="J89" s="432"/>
      <c r="K89" s="510"/>
      <c r="L89" s="510"/>
      <c r="M89" s="510"/>
      <c r="N89" s="510"/>
      <c r="O89" s="511"/>
      <c r="P89" s="533"/>
      <c r="R89" s="374"/>
      <c r="S89" s="374"/>
    </row>
    <row r="90" spans="3:19" ht="15.75" thickTop="1" x14ac:dyDescent="0.25">
      <c r="C90" s="539" t="s">
        <v>171</v>
      </c>
      <c r="D90" s="540"/>
      <c r="E90" s="541"/>
      <c r="F90" s="541"/>
      <c r="G90" s="428">
        <f>+G74+G77+G84+G86+G88</f>
        <v>274.46666666666658</v>
      </c>
      <c r="H90" s="428">
        <f>+H74+H77+H84+H86+H88</f>
        <v>376.26666666666654</v>
      </c>
      <c r="I90" s="428">
        <f>+I74+I77+I84+I86+I88</f>
        <v>564.53333333333319</v>
      </c>
      <c r="J90" s="429">
        <f>+J74+J77+J84+J86+J88</f>
        <v>731.33333333333337</v>
      </c>
      <c r="K90" s="501"/>
      <c r="L90" s="501"/>
      <c r="M90" s="501"/>
      <c r="N90" s="501"/>
      <c r="O90" s="502"/>
      <c r="P90" s="503"/>
      <c r="R90" s="374"/>
      <c r="S90" s="374"/>
    </row>
    <row r="91" spans="3:19" x14ac:dyDescent="0.25">
      <c r="D91" s="374"/>
      <c r="E91" s="374"/>
      <c r="F91" s="374"/>
      <c r="K91" s="394"/>
      <c r="L91" s="394"/>
      <c r="M91" s="394"/>
      <c r="N91" s="394"/>
      <c r="O91" s="394"/>
      <c r="P91" s="394"/>
      <c r="R91" s="374"/>
      <c r="S91" s="374"/>
    </row>
    <row r="92" spans="3:19" ht="22.5" x14ac:dyDescent="0.35">
      <c r="C92" s="462" t="s">
        <v>155</v>
      </c>
      <c r="D92" s="374"/>
      <c r="E92" s="374"/>
      <c r="F92" s="374"/>
      <c r="K92" s="374"/>
      <c r="L92" s="374"/>
      <c r="M92" s="374"/>
      <c r="N92" s="374"/>
      <c r="O92" s="374"/>
      <c r="P92" s="374"/>
      <c r="R92" s="374"/>
      <c r="S92" s="374"/>
    </row>
    <row r="93" spans="3:19" x14ac:dyDescent="0.25">
      <c r="K93" s="61"/>
      <c r="R93" s="374"/>
      <c r="S93" s="374"/>
    </row>
    <row r="94" spans="3:19" x14ac:dyDescent="0.25">
      <c r="C94" s="374" t="s">
        <v>156</v>
      </c>
      <c r="D94" s="374"/>
      <c r="E94" s="374"/>
      <c r="F94" s="374"/>
      <c r="G94" s="682">
        <v>25</v>
      </c>
      <c r="H94" s="682">
        <v>25</v>
      </c>
      <c r="I94" s="682">
        <v>25</v>
      </c>
      <c r="J94" s="686">
        <v>25</v>
      </c>
      <c r="K94" s="513"/>
      <c r="L94" s="513"/>
      <c r="M94" s="513"/>
      <c r="N94" s="513"/>
      <c r="O94" s="514"/>
      <c r="P94" s="542"/>
      <c r="R94" s="374"/>
      <c r="S94" s="374"/>
    </row>
    <row r="95" spans="3:19" x14ac:dyDescent="0.25">
      <c r="C95" s="374" t="s">
        <v>157</v>
      </c>
      <c r="D95" s="374"/>
      <c r="E95" s="374"/>
      <c r="F95" s="374"/>
      <c r="G95" s="682">
        <v>0</v>
      </c>
      <c r="H95" s="682">
        <v>0</v>
      </c>
      <c r="I95" s="682">
        <v>0</v>
      </c>
      <c r="J95" s="686">
        <v>0</v>
      </c>
      <c r="K95" s="513"/>
      <c r="L95" s="513"/>
      <c r="M95" s="513"/>
      <c r="N95" s="513"/>
      <c r="O95" s="514"/>
      <c r="P95" s="542"/>
      <c r="R95" s="374"/>
      <c r="S95" s="374"/>
    </row>
    <row r="96" spans="3:19" x14ac:dyDescent="0.25">
      <c r="C96" s="374" t="s">
        <v>158</v>
      </c>
      <c r="D96" s="374"/>
      <c r="E96" s="374"/>
      <c r="F96" s="374"/>
      <c r="G96" s="682">
        <v>0</v>
      </c>
      <c r="H96" s="682">
        <v>0</v>
      </c>
      <c r="I96" s="682">
        <v>0</v>
      </c>
      <c r="J96" s="686">
        <v>0</v>
      </c>
      <c r="K96" s="513"/>
      <c r="L96" s="513"/>
      <c r="M96" s="513"/>
      <c r="N96" s="513"/>
      <c r="O96" s="514"/>
      <c r="P96" s="542"/>
      <c r="R96" s="374"/>
      <c r="S96" s="374"/>
    </row>
    <row r="97" spans="3:19" x14ac:dyDescent="0.25">
      <c r="C97" s="374" t="s">
        <v>159</v>
      </c>
      <c r="D97" s="374"/>
      <c r="E97" s="374"/>
      <c r="F97" s="467"/>
      <c r="G97" s="682">
        <v>-50</v>
      </c>
      <c r="H97" s="435">
        <f>+G97+G98</f>
        <v>56.799999999999955</v>
      </c>
      <c r="I97" s="433">
        <f>+H97+H98</f>
        <v>158.59999999999991</v>
      </c>
      <c r="J97" s="436">
        <f>+I97+I98</f>
        <v>314.19999999999993</v>
      </c>
      <c r="K97" s="536"/>
      <c r="L97" s="536"/>
      <c r="M97" s="536"/>
      <c r="N97" s="536"/>
      <c r="O97" s="537"/>
      <c r="P97" s="538"/>
      <c r="R97" s="392" t="s">
        <v>541</v>
      </c>
      <c r="S97" s="374"/>
    </row>
    <row r="98" spans="3:19" x14ac:dyDescent="0.25">
      <c r="C98" s="374" t="s">
        <v>160</v>
      </c>
      <c r="D98" s="374"/>
      <c r="E98" s="374"/>
      <c r="F98" s="467"/>
      <c r="G98" s="435">
        <f>+G62</f>
        <v>106.79999999999995</v>
      </c>
      <c r="H98" s="435">
        <f>+H62</f>
        <v>101.79999999999995</v>
      </c>
      <c r="I98" s="433">
        <f>+I62</f>
        <v>155.60000000000002</v>
      </c>
      <c r="J98" s="436">
        <f>+J62</f>
        <v>162.8000000000001</v>
      </c>
      <c r="K98" s="536"/>
      <c r="L98" s="536"/>
      <c r="M98" s="536"/>
      <c r="N98" s="536"/>
      <c r="O98" s="537"/>
      <c r="P98" s="538"/>
      <c r="R98" s="7" t="s">
        <v>507</v>
      </c>
    </row>
    <row r="99" spans="3:19" x14ac:dyDescent="0.25">
      <c r="C99" s="374" t="s">
        <v>136</v>
      </c>
      <c r="D99" s="374"/>
      <c r="E99" s="374"/>
      <c r="F99" s="374"/>
      <c r="G99" s="682">
        <v>0</v>
      </c>
      <c r="H99" s="682">
        <v>0</v>
      </c>
      <c r="I99" s="681">
        <v>0</v>
      </c>
      <c r="J99" s="686">
        <v>0</v>
      </c>
      <c r="K99" s="536"/>
      <c r="L99" s="536"/>
      <c r="M99" s="536"/>
      <c r="N99" s="536"/>
      <c r="O99" s="537"/>
      <c r="P99" s="538"/>
    </row>
    <row r="100" spans="3:19" x14ac:dyDescent="0.25">
      <c r="C100" s="689" t="s">
        <v>151</v>
      </c>
      <c r="G100" s="687">
        <v>0</v>
      </c>
      <c r="H100" s="687">
        <v>0</v>
      </c>
      <c r="I100" s="687">
        <v>0</v>
      </c>
      <c r="J100" s="688">
        <v>0</v>
      </c>
      <c r="K100" s="498"/>
      <c r="L100" s="498"/>
      <c r="M100" s="498"/>
      <c r="N100" s="498"/>
      <c r="O100" s="499"/>
      <c r="P100" s="535"/>
      <c r="R100" s="7" t="s">
        <v>495</v>
      </c>
    </row>
    <row r="101" spans="3:19" x14ac:dyDescent="0.25">
      <c r="C101" s="425" t="s">
        <v>93</v>
      </c>
      <c r="D101" s="426"/>
      <c r="E101" s="427"/>
      <c r="F101" s="427"/>
      <c r="G101" s="428">
        <f>+SUM(G94:G100)</f>
        <v>81.799999999999955</v>
      </c>
      <c r="H101" s="428">
        <f>+SUM(H94:H100)</f>
        <v>183.59999999999991</v>
      </c>
      <c r="I101" s="428">
        <f>+SUM(I94:I100)</f>
        <v>339.19999999999993</v>
      </c>
      <c r="J101" s="429">
        <f>+SUM(J94:J100)</f>
        <v>502</v>
      </c>
      <c r="K101" s="501"/>
      <c r="L101" s="501"/>
      <c r="M101" s="501"/>
      <c r="N101" s="501"/>
      <c r="O101" s="502"/>
      <c r="P101" s="503"/>
    </row>
    <row r="102" spans="3:19" ht="5.0999999999999996" customHeight="1" x14ac:dyDescent="0.25">
      <c r="J102" s="432"/>
      <c r="K102" s="510"/>
      <c r="L102" s="510"/>
      <c r="M102" s="510"/>
      <c r="N102" s="510"/>
      <c r="O102" s="511"/>
      <c r="P102" s="533"/>
    </row>
    <row r="103" spans="3:19" x14ac:dyDescent="0.25">
      <c r="C103" s="374" t="s">
        <v>164</v>
      </c>
      <c r="D103" s="374"/>
      <c r="E103" s="374"/>
      <c r="F103" s="374"/>
      <c r="G103" s="682">
        <v>0</v>
      </c>
      <c r="H103" s="682">
        <v>0</v>
      </c>
      <c r="I103" s="682">
        <v>0</v>
      </c>
      <c r="J103" s="686">
        <v>0</v>
      </c>
      <c r="K103" s="513"/>
      <c r="L103" s="513"/>
      <c r="M103" s="513"/>
      <c r="N103" s="513"/>
      <c r="O103" s="514"/>
      <c r="P103" s="542"/>
    </row>
    <row r="104" spans="3:19" x14ac:dyDescent="0.25">
      <c r="C104" s="374" t="s">
        <v>165</v>
      </c>
      <c r="D104" s="374"/>
      <c r="E104" s="374"/>
      <c r="F104" s="374"/>
      <c r="G104" s="682">
        <v>0</v>
      </c>
      <c r="H104" s="682">
        <v>0</v>
      </c>
      <c r="I104" s="682">
        <v>0</v>
      </c>
      <c r="J104" s="686">
        <v>0</v>
      </c>
      <c r="K104" s="513"/>
      <c r="L104" s="513"/>
      <c r="M104" s="513"/>
      <c r="N104" s="513"/>
      <c r="O104" s="514"/>
      <c r="P104" s="542"/>
    </row>
    <row r="105" spans="3:19" x14ac:dyDescent="0.25">
      <c r="C105" s="689" t="s">
        <v>151</v>
      </c>
      <c r="G105" s="682">
        <v>0</v>
      </c>
      <c r="H105" s="682">
        <v>0</v>
      </c>
      <c r="I105" s="682">
        <v>0</v>
      </c>
      <c r="J105" s="686">
        <v>0</v>
      </c>
      <c r="K105" s="513"/>
      <c r="L105" s="513"/>
      <c r="M105" s="513"/>
      <c r="N105" s="513"/>
      <c r="O105" s="514"/>
      <c r="P105" s="542"/>
      <c r="R105" s="7" t="s">
        <v>493</v>
      </c>
    </row>
    <row r="106" spans="3:19" x14ac:dyDescent="0.25">
      <c r="C106" s="689" t="s">
        <v>151</v>
      </c>
      <c r="G106" s="682">
        <v>0</v>
      </c>
      <c r="H106" s="682">
        <v>0</v>
      </c>
      <c r="I106" s="682">
        <v>0</v>
      </c>
      <c r="J106" s="686">
        <v>0</v>
      </c>
      <c r="K106" s="513"/>
      <c r="L106" s="513"/>
      <c r="M106" s="513"/>
      <c r="N106" s="513"/>
      <c r="O106" s="514"/>
      <c r="P106" s="542"/>
      <c r="R106" s="7" t="s">
        <v>493</v>
      </c>
    </row>
    <row r="107" spans="3:19" x14ac:dyDescent="0.25">
      <c r="C107" s="425" t="s">
        <v>166</v>
      </c>
      <c r="D107" s="426"/>
      <c r="E107" s="427"/>
      <c r="F107" s="467"/>
      <c r="G107" s="428">
        <f>+SUM(G103:G106)</f>
        <v>0</v>
      </c>
      <c r="H107" s="428">
        <f>+SUM(H103:H106)</f>
        <v>0</v>
      </c>
      <c r="I107" s="428">
        <f>+SUM(I103:I106)</f>
        <v>0</v>
      </c>
      <c r="J107" s="429">
        <f>+SUM(J103:J106)</f>
        <v>0</v>
      </c>
      <c r="K107" s="501"/>
      <c r="L107" s="501"/>
      <c r="M107" s="501"/>
      <c r="N107" s="501"/>
      <c r="O107" s="502"/>
      <c r="P107" s="503"/>
    </row>
    <row r="108" spans="3:19" ht="5.0999999999999996" customHeight="1" x14ac:dyDescent="0.25">
      <c r="J108" s="432"/>
      <c r="K108" s="510"/>
      <c r="L108" s="510"/>
      <c r="M108" s="510"/>
      <c r="N108" s="510"/>
      <c r="O108" s="511"/>
      <c r="P108" s="533"/>
    </row>
    <row r="109" spans="3:19" x14ac:dyDescent="0.25">
      <c r="C109" s="374" t="s">
        <v>178</v>
      </c>
      <c r="D109" s="374"/>
      <c r="E109" s="374"/>
      <c r="F109" s="374"/>
      <c r="G109" s="682">
        <v>0</v>
      </c>
      <c r="H109" s="682">
        <v>0</v>
      </c>
      <c r="I109" s="682">
        <v>0</v>
      </c>
      <c r="J109" s="686">
        <v>0</v>
      </c>
      <c r="K109" s="513"/>
      <c r="L109" s="513"/>
      <c r="M109" s="513"/>
      <c r="N109" s="513"/>
      <c r="O109" s="514"/>
      <c r="P109" s="542"/>
    </row>
    <row r="110" spans="3:19" x14ac:dyDescent="0.25">
      <c r="C110" s="689" t="s">
        <v>151</v>
      </c>
      <c r="G110" s="682">
        <v>0</v>
      </c>
      <c r="H110" s="682">
        <v>0</v>
      </c>
      <c r="I110" s="682">
        <v>0</v>
      </c>
      <c r="J110" s="686">
        <v>0</v>
      </c>
      <c r="K110" s="513"/>
      <c r="L110" s="513"/>
      <c r="M110" s="513"/>
      <c r="N110" s="513"/>
      <c r="O110" s="514"/>
      <c r="P110" s="542"/>
      <c r="R110" s="7" t="s">
        <v>494</v>
      </c>
    </row>
    <row r="111" spans="3:19" x14ac:dyDescent="0.25">
      <c r="C111" s="689" t="s">
        <v>151</v>
      </c>
      <c r="G111" s="682">
        <v>0</v>
      </c>
      <c r="H111" s="682">
        <v>0</v>
      </c>
      <c r="I111" s="682">
        <v>0</v>
      </c>
      <c r="J111" s="686">
        <v>0</v>
      </c>
      <c r="K111" s="513"/>
      <c r="L111" s="513"/>
      <c r="M111" s="513"/>
      <c r="N111" s="513"/>
      <c r="O111" s="514"/>
      <c r="P111" s="542"/>
      <c r="R111" s="7" t="s">
        <v>494</v>
      </c>
    </row>
    <row r="112" spans="3:19" x14ac:dyDescent="0.25">
      <c r="C112" s="425" t="s">
        <v>179</v>
      </c>
      <c r="D112" s="426"/>
      <c r="E112" s="427"/>
      <c r="F112" s="467"/>
      <c r="G112" s="428">
        <f>+SUM(G109:G111)</f>
        <v>0</v>
      </c>
      <c r="H112" s="428">
        <f>+SUM(H109:H111)</f>
        <v>0</v>
      </c>
      <c r="I112" s="428">
        <f>+SUM(I109:I111)</f>
        <v>0</v>
      </c>
      <c r="J112" s="429">
        <f>+SUM(J109:J111)</f>
        <v>0</v>
      </c>
      <c r="K112" s="501"/>
      <c r="L112" s="501"/>
      <c r="M112" s="501"/>
      <c r="N112" s="501"/>
      <c r="O112" s="502"/>
      <c r="P112" s="503"/>
    </row>
    <row r="113" spans="3:18" ht="5.0999999999999996" customHeight="1" x14ac:dyDescent="0.25">
      <c r="J113" s="432"/>
      <c r="K113" s="510"/>
      <c r="L113" s="510"/>
      <c r="M113" s="510"/>
      <c r="N113" s="510"/>
      <c r="O113" s="511"/>
      <c r="P113" s="533"/>
    </row>
    <row r="114" spans="3:18" x14ac:dyDescent="0.25">
      <c r="C114" s="374" t="s">
        <v>67</v>
      </c>
      <c r="D114" s="374"/>
      <c r="E114" s="374"/>
      <c r="F114" s="374"/>
      <c r="G114" s="682">
        <f>+G27*0.15</f>
        <v>69.5</v>
      </c>
      <c r="H114" s="682">
        <f t="shared" ref="H114:J114" si="4">+H27*0.15</f>
        <v>69.5</v>
      </c>
      <c r="I114" s="682">
        <f t="shared" si="4"/>
        <v>94.000000000000014</v>
      </c>
      <c r="J114" s="686">
        <f t="shared" si="4"/>
        <v>97.000000000000014</v>
      </c>
      <c r="K114" s="513"/>
      <c r="L114" s="513"/>
      <c r="M114" s="513"/>
      <c r="N114" s="513"/>
      <c r="O114" s="514"/>
      <c r="P114" s="542"/>
    </row>
    <row r="115" spans="3:18" x14ac:dyDescent="0.25">
      <c r="C115" s="374" t="s">
        <v>68</v>
      </c>
      <c r="D115" s="374"/>
      <c r="E115" s="374"/>
      <c r="F115" s="374"/>
      <c r="G115" s="682">
        <f>+G27*0.05</f>
        <v>23.166666666666671</v>
      </c>
      <c r="H115" s="682">
        <f t="shared" ref="H115:J115" si="5">+H27*0.05</f>
        <v>23.166666666666671</v>
      </c>
      <c r="I115" s="682">
        <f t="shared" si="5"/>
        <v>31.333333333333339</v>
      </c>
      <c r="J115" s="686">
        <f t="shared" si="5"/>
        <v>32.333333333333336</v>
      </c>
      <c r="K115" s="513"/>
      <c r="L115" s="513"/>
      <c r="M115" s="513"/>
      <c r="N115" s="513"/>
      <c r="O115" s="514"/>
      <c r="P115" s="542"/>
    </row>
    <row r="116" spans="3:18" x14ac:dyDescent="0.25">
      <c r="C116" s="689" t="s">
        <v>151</v>
      </c>
      <c r="G116" s="682">
        <v>0</v>
      </c>
      <c r="H116" s="682">
        <v>0</v>
      </c>
      <c r="I116" s="682">
        <v>0</v>
      </c>
      <c r="J116" s="686">
        <v>0</v>
      </c>
      <c r="K116" s="513"/>
      <c r="L116" s="513"/>
      <c r="M116" s="513"/>
      <c r="N116" s="513"/>
      <c r="O116" s="514"/>
      <c r="P116" s="542"/>
      <c r="R116" s="7" t="s">
        <v>496</v>
      </c>
    </row>
    <row r="117" spans="3:18" x14ac:dyDescent="0.25">
      <c r="C117" s="425" t="s">
        <v>167</v>
      </c>
      <c r="D117" s="426"/>
      <c r="E117" s="427"/>
      <c r="F117" s="467"/>
      <c r="G117" s="428">
        <f>+SUM(G114:G116)</f>
        <v>92.666666666666671</v>
      </c>
      <c r="H117" s="428">
        <f>+SUM(H114:H116)</f>
        <v>92.666666666666671</v>
      </c>
      <c r="I117" s="428">
        <f>+SUM(I114:I116)</f>
        <v>125.33333333333336</v>
      </c>
      <c r="J117" s="429">
        <f>+SUM(J114:J116)</f>
        <v>129.33333333333334</v>
      </c>
      <c r="K117" s="501"/>
      <c r="L117" s="501"/>
      <c r="M117" s="501"/>
      <c r="N117" s="501"/>
      <c r="O117" s="502"/>
      <c r="P117" s="503"/>
    </row>
    <row r="118" spans="3:18" ht="5.0999999999999996" customHeight="1" x14ac:dyDescent="0.25">
      <c r="J118" s="432"/>
      <c r="K118" s="510"/>
      <c r="L118" s="510"/>
      <c r="M118" s="510"/>
      <c r="N118" s="510"/>
      <c r="O118" s="511"/>
      <c r="P118" s="533"/>
    </row>
    <row r="119" spans="3:18" x14ac:dyDescent="0.25">
      <c r="C119" s="374" t="s">
        <v>168</v>
      </c>
      <c r="D119" s="374"/>
      <c r="E119" s="374"/>
      <c r="F119" s="374"/>
      <c r="G119" s="682">
        <v>100</v>
      </c>
      <c r="H119" s="682">
        <v>100</v>
      </c>
      <c r="I119" s="682">
        <v>100</v>
      </c>
      <c r="J119" s="686">
        <v>100</v>
      </c>
      <c r="K119" s="513"/>
      <c r="L119" s="513"/>
      <c r="M119" s="513"/>
      <c r="N119" s="513"/>
      <c r="O119" s="514"/>
      <c r="P119" s="542"/>
    </row>
    <row r="120" spans="3:18" x14ac:dyDescent="0.25">
      <c r="C120" s="374" t="s">
        <v>169</v>
      </c>
      <c r="D120" s="374"/>
      <c r="E120" s="374"/>
      <c r="F120" s="374"/>
      <c r="G120" s="682">
        <v>0</v>
      </c>
      <c r="H120" s="682">
        <v>0</v>
      </c>
      <c r="I120" s="682">
        <v>0</v>
      </c>
      <c r="J120" s="686">
        <v>0</v>
      </c>
      <c r="K120" s="513"/>
      <c r="L120" s="513"/>
      <c r="M120" s="513"/>
      <c r="N120" s="513"/>
      <c r="O120" s="514"/>
      <c r="P120" s="542"/>
    </row>
    <row r="121" spans="3:18" x14ac:dyDescent="0.25">
      <c r="C121" s="689" t="s">
        <v>151</v>
      </c>
      <c r="G121" s="682">
        <v>0</v>
      </c>
      <c r="H121" s="682">
        <v>0</v>
      </c>
      <c r="I121" s="682">
        <v>0</v>
      </c>
      <c r="J121" s="686">
        <v>0</v>
      </c>
      <c r="K121" s="513"/>
      <c r="L121" s="513"/>
      <c r="M121" s="513"/>
      <c r="N121" s="513"/>
      <c r="O121" s="514"/>
      <c r="P121" s="542"/>
      <c r="R121" s="7" t="s">
        <v>497</v>
      </c>
    </row>
    <row r="122" spans="3:18" x14ac:dyDescent="0.25">
      <c r="C122" s="689" t="s">
        <v>151</v>
      </c>
      <c r="G122" s="682">
        <v>0</v>
      </c>
      <c r="H122" s="682">
        <v>0</v>
      </c>
      <c r="I122" s="682">
        <v>0</v>
      </c>
      <c r="J122" s="686">
        <v>0</v>
      </c>
      <c r="K122" s="513"/>
      <c r="L122" s="513"/>
      <c r="M122" s="513"/>
      <c r="N122" s="513"/>
      <c r="O122" s="514"/>
      <c r="P122" s="542"/>
      <c r="R122" s="7" t="s">
        <v>497</v>
      </c>
    </row>
    <row r="123" spans="3:18" x14ac:dyDescent="0.25">
      <c r="C123" s="425" t="s">
        <v>170</v>
      </c>
      <c r="D123" s="426"/>
      <c r="E123" s="427"/>
      <c r="F123" s="467"/>
      <c r="G123" s="428">
        <f>+SUM(G119:G122)</f>
        <v>100</v>
      </c>
      <c r="H123" s="428">
        <f>+SUM(H119:H122)</f>
        <v>100</v>
      </c>
      <c r="I123" s="428">
        <f>+SUM(I119:I122)</f>
        <v>100</v>
      </c>
      <c r="J123" s="429">
        <f>+SUM(J119:J122)</f>
        <v>100</v>
      </c>
      <c r="K123" s="501"/>
      <c r="L123" s="501"/>
      <c r="M123" s="501"/>
      <c r="N123" s="501"/>
      <c r="O123" s="502"/>
      <c r="P123" s="503"/>
    </row>
    <row r="124" spans="3:18" ht="5.0999999999999996" customHeight="1" x14ac:dyDescent="0.25">
      <c r="D124" s="374"/>
      <c r="E124" s="374"/>
      <c r="F124" s="374"/>
      <c r="J124" s="432"/>
      <c r="K124" s="510"/>
      <c r="L124" s="510"/>
      <c r="M124" s="510"/>
      <c r="N124" s="510"/>
      <c r="O124" s="511"/>
      <c r="P124" s="533"/>
    </row>
    <row r="125" spans="3:18" x14ac:dyDescent="0.25">
      <c r="C125" s="374" t="s">
        <v>175</v>
      </c>
      <c r="D125" s="374"/>
      <c r="E125" s="374"/>
      <c r="F125" s="467"/>
      <c r="G125" s="465"/>
      <c r="H125" s="465"/>
      <c r="I125" s="465"/>
      <c r="J125" s="466"/>
      <c r="K125" s="536"/>
      <c r="L125" s="536"/>
      <c r="M125" s="536"/>
      <c r="N125" s="536"/>
      <c r="O125" s="537"/>
      <c r="P125" s="538"/>
    </row>
    <row r="126" spans="3:18" ht="5.0999999999999996" customHeight="1" thickBot="1" x14ac:dyDescent="0.3">
      <c r="D126" s="374"/>
      <c r="E126" s="374"/>
      <c r="F126" s="374"/>
      <c r="J126" s="432"/>
      <c r="K126" s="510"/>
      <c r="L126" s="510"/>
      <c r="M126" s="510"/>
      <c r="N126" s="510"/>
      <c r="O126" s="511"/>
      <c r="P126" s="533"/>
    </row>
    <row r="127" spans="3:18" ht="15.75" thickTop="1" x14ac:dyDescent="0.25">
      <c r="C127" s="539" t="s">
        <v>176</v>
      </c>
      <c r="D127" s="540"/>
      <c r="E127" s="541"/>
      <c r="F127" s="541"/>
      <c r="G127" s="428">
        <f>+G101+G107+G112+G117+G123+G125</f>
        <v>274.46666666666664</v>
      </c>
      <c r="H127" s="428">
        <f>+H101+H107+H112+H117+H123+H125</f>
        <v>376.26666666666659</v>
      </c>
      <c r="I127" s="428">
        <f>+I101+I107+I112+I117+I123+I125</f>
        <v>564.5333333333333</v>
      </c>
      <c r="J127" s="429">
        <f>+J101+J107+J112+J117+J123+J125</f>
        <v>731.33333333333337</v>
      </c>
      <c r="K127" s="501"/>
      <c r="L127" s="501"/>
      <c r="M127" s="501"/>
      <c r="N127" s="501"/>
      <c r="O127" s="502"/>
      <c r="P127" s="503"/>
    </row>
    <row r="128" spans="3:18" x14ac:dyDescent="0.25">
      <c r="D128" s="374"/>
      <c r="E128" s="374"/>
      <c r="F128" s="374"/>
      <c r="K128" s="374"/>
      <c r="L128" s="374"/>
      <c r="M128" s="374"/>
      <c r="N128" s="374"/>
      <c r="O128" s="374"/>
      <c r="P128" s="374"/>
      <c r="Q128" s="374"/>
    </row>
    <row r="129" spans="1:18" x14ac:dyDescent="0.25">
      <c r="C129" s="374" t="s">
        <v>172</v>
      </c>
      <c r="D129" s="374"/>
      <c r="E129" s="374"/>
      <c r="F129" s="374"/>
      <c r="G129" s="543" t="str">
        <f>IF(ABS(G127-G90)&gt;0.1,"CHECK","OK")</f>
        <v>OK</v>
      </c>
      <c r="H129" s="543" t="str">
        <f>IF(ABS(H127-H90)&gt;0.1,"CHECK","OK")</f>
        <v>OK</v>
      </c>
      <c r="I129" s="543" t="str">
        <f>IF(ABS(I127-I90)&gt;0.1,"CHECK","OK")</f>
        <v>OK</v>
      </c>
      <c r="J129" s="543" t="str">
        <f>IF(ABS(J127-J90)&gt;0.1,"CHECK","OK")</f>
        <v>OK</v>
      </c>
      <c r="K129" s="474"/>
      <c r="L129" s="474"/>
      <c r="M129" s="474"/>
      <c r="N129" s="474"/>
      <c r="O129" s="474"/>
      <c r="P129" s="474"/>
      <c r="Q129" s="374"/>
      <c r="R129" s="7" t="s">
        <v>506</v>
      </c>
    </row>
    <row r="130" spans="1:18" x14ac:dyDescent="0.25">
      <c r="D130" s="374"/>
      <c r="E130" s="374"/>
      <c r="F130" s="374"/>
      <c r="G130" s="473">
        <f>ROUND(+ABS(G127-G90),1)</f>
        <v>0</v>
      </c>
      <c r="H130" s="473">
        <f t="shared" ref="H130:J130" si="6">ROUND(+ABS(H127-H90),1)</f>
        <v>0</v>
      </c>
      <c r="I130" s="473">
        <f t="shared" si="6"/>
        <v>0</v>
      </c>
      <c r="J130" s="473">
        <f t="shared" si="6"/>
        <v>0</v>
      </c>
      <c r="K130" s="374"/>
      <c r="L130" s="374"/>
      <c r="M130" s="374"/>
      <c r="N130" s="374"/>
      <c r="O130" s="374"/>
      <c r="P130" s="374"/>
      <c r="Q130" s="374"/>
    </row>
    <row r="131" spans="1:18" x14ac:dyDescent="0.25">
      <c r="A131" s="374"/>
      <c r="D131" s="374"/>
      <c r="E131" s="374"/>
      <c r="F131" s="374"/>
      <c r="K131" s="374"/>
      <c r="L131" s="374"/>
      <c r="M131" s="374"/>
      <c r="N131" s="374"/>
      <c r="O131" s="374"/>
      <c r="P131" s="374"/>
      <c r="Q131" s="374"/>
    </row>
    <row r="132" spans="1:18" ht="22.5" outlineLevel="1" x14ac:dyDescent="0.35">
      <c r="A132" s="544" t="s">
        <v>137</v>
      </c>
      <c r="C132" s="544"/>
      <c r="D132" s="374"/>
      <c r="E132" s="374"/>
      <c r="F132" s="374"/>
      <c r="K132" s="374"/>
      <c r="L132" s="374"/>
      <c r="M132" s="374"/>
      <c r="N132" s="394"/>
      <c r="O132" s="374"/>
      <c r="P132" s="374"/>
      <c r="Q132" s="374"/>
    </row>
    <row r="133" spans="1:18" ht="15" customHeight="1" outlineLevel="1" x14ac:dyDescent="0.35">
      <c r="A133" s="374"/>
      <c r="C133" s="544"/>
      <c r="D133" s="374"/>
      <c r="E133" s="374"/>
      <c r="F133" s="374"/>
      <c r="G133" s="412"/>
      <c r="H133" s="412"/>
      <c r="I133" s="412"/>
      <c r="J133" s="413" t="s">
        <v>38</v>
      </c>
      <c r="K133" s="480" t="str">
        <f>+K25</f>
        <v>Detailplanungsphase</v>
      </c>
      <c r="L133" s="480"/>
      <c r="M133" s="480"/>
      <c r="N133" s="480"/>
      <c r="O133" s="488"/>
      <c r="P133" s="481" t="s">
        <v>104</v>
      </c>
      <c r="Q133" s="374"/>
    </row>
    <row r="134" spans="1:18" ht="15" customHeight="1" outlineLevel="1" x14ac:dyDescent="0.35">
      <c r="A134" s="374"/>
      <c r="C134" s="544"/>
      <c r="D134" s="374"/>
      <c r="E134" s="374"/>
      <c r="F134" s="374"/>
      <c r="G134" s="414">
        <f ca="1">+G68</f>
        <v>2023</v>
      </c>
      <c r="H134" s="414">
        <f ca="1">+H68</f>
        <v>2024</v>
      </c>
      <c r="I134" s="414">
        <f t="shared" ref="I134:P134" ca="1" si="7">+I68</f>
        <v>2025</v>
      </c>
      <c r="J134" s="415">
        <f t="shared" ca="1" si="7"/>
        <v>2026</v>
      </c>
      <c r="K134" s="482">
        <f t="shared" ca="1" si="7"/>
        <v>2027</v>
      </c>
      <c r="L134" s="483">
        <f t="shared" ca="1" si="7"/>
        <v>2028</v>
      </c>
      <c r="M134" s="483">
        <f t="shared" ca="1" si="7"/>
        <v>2029</v>
      </c>
      <c r="N134" s="483">
        <f t="shared" ca="1" si="7"/>
        <v>2030</v>
      </c>
      <c r="O134" s="490">
        <f t="shared" ca="1" si="7"/>
        <v>2031</v>
      </c>
      <c r="P134" s="545">
        <f t="shared" ca="1" si="7"/>
        <v>2032</v>
      </c>
      <c r="Q134" s="374"/>
    </row>
    <row r="135" spans="1:18" outlineLevel="1" x14ac:dyDescent="0.25">
      <c r="A135" s="374"/>
      <c r="C135" s="464" t="s">
        <v>94</v>
      </c>
      <c r="D135" s="374"/>
      <c r="E135" s="374"/>
      <c r="F135" s="374"/>
      <c r="G135" s="435">
        <f>+G62</f>
        <v>106.79999999999995</v>
      </c>
      <c r="H135" s="435">
        <f>+H62</f>
        <v>101.79999999999995</v>
      </c>
      <c r="I135" s="433">
        <f>+I62</f>
        <v>155.60000000000002</v>
      </c>
      <c r="J135" s="436">
        <f>+J62</f>
        <v>162.8000000000001</v>
      </c>
      <c r="K135" s="536"/>
      <c r="L135" s="536"/>
      <c r="M135" s="536"/>
      <c r="N135" s="536"/>
      <c r="O135" s="537"/>
      <c r="P135" s="538"/>
      <c r="Q135" s="374"/>
    </row>
    <row r="136" spans="1:18" outlineLevel="1" x14ac:dyDescent="0.25">
      <c r="A136" s="374"/>
      <c r="C136" s="546" t="s">
        <v>263</v>
      </c>
      <c r="D136" s="374"/>
      <c r="E136" s="374"/>
      <c r="F136" s="374"/>
      <c r="G136" s="435">
        <f>ABS(G41)</f>
        <v>30</v>
      </c>
      <c r="H136" s="435">
        <f>ABS(H41)</f>
        <v>30</v>
      </c>
      <c r="I136" s="433">
        <f>ABS(I41)</f>
        <v>30</v>
      </c>
      <c r="J136" s="436">
        <f>ABS(J41)</f>
        <v>30</v>
      </c>
      <c r="K136" s="536"/>
      <c r="L136" s="536"/>
      <c r="M136" s="536"/>
      <c r="N136" s="536"/>
      <c r="O136" s="537"/>
      <c r="P136" s="538"/>
      <c r="Q136" s="374"/>
    </row>
    <row r="137" spans="1:18" outlineLevel="1" x14ac:dyDescent="0.25">
      <c r="C137" s="546" t="s">
        <v>182</v>
      </c>
      <c r="D137" s="374"/>
      <c r="E137" s="374"/>
      <c r="F137" s="374"/>
      <c r="G137" s="437">
        <f>+F84-G84+G107-F107+G117-F117</f>
        <v>-115.83333333333336</v>
      </c>
      <c r="H137" s="437">
        <f>+G84-H84+H107-G107+H117-G117</f>
        <v>0</v>
      </c>
      <c r="I137" s="547">
        <f>+H84-I84+I107-H107+I117-H117</f>
        <v>-40.833333333333343</v>
      </c>
      <c r="J137" s="438">
        <f>+I84-J84+J107-I107+J117-I117</f>
        <v>-4.9999999999999574</v>
      </c>
      <c r="K137" s="548"/>
      <c r="L137" s="548"/>
      <c r="M137" s="548"/>
      <c r="N137" s="548"/>
      <c r="O137" s="549"/>
      <c r="P137" s="550"/>
      <c r="Q137" s="374"/>
    </row>
    <row r="138" spans="1:18" outlineLevel="1" x14ac:dyDescent="0.25">
      <c r="C138" s="425" t="s">
        <v>180</v>
      </c>
      <c r="D138" s="426"/>
      <c r="E138" s="427"/>
      <c r="F138" s="427"/>
      <c r="G138" s="551">
        <f>+SUM(G135:G137)</f>
        <v>20.966666666666598</v>
      </c>
      <c r="H138" s="551">
        <f>+SUM(H135:H137)</f>
        <v>131.79999999999995</v>
      </c>
      <c r="I138" s="551">
        <f t="shared" ref="I138:J138" si="8">+SUM(I135:I137)</f>
        <v>144.76666666666668</v>
      </c>
      <c r="J138" s="552">
        <f t="shared" si="8"/>
        <v>187.80000000000013</v>
      </c>
      <c r="K138" s="553"/>
      <c r="L138" s="553"/>
      <c r="M138" s="553"/>
      <c r="N138" s="553"/>
      <c r="O138" s="554"/>
      <c r="P138" s="555"/>
      <c r="Q138" s="374"/>
    </row>
    <row r="139" spans="1:18" outlineLevel="1" x14ac:dyDescent="0.25">
      <c r="D139" s="374"/>
      <c r="E139" s="374"/>
      <c r="F139" s="374"/>
      <c r="K139" s="374"/>
      <c r="L139" s="374"/>
      <c r="M139" s="374"/>
      <c r="N139" s="374"/>
      <c r="O139" s="374"/>
      <c r="P139" s="374"/>
      <c r="Q139" s="374"/>
    </row>
    <row r="140" spans="1:18" outlineLevel="1" x14ac:dyDescent="0.25">
      <c r="C140" s="464" t="s">
        <v>85</v>
      </c>
      <c r="D140" s="374"/>
      <c r="E140" s="374"/>
      <c r="F140" s="374"/>
      <c r="G140" s="435">
        <f>IF(G74-G73-G69&gt;0,-(+G74-G73-G69),0)</f>
        <v>-350</v>
      </c>
      <c r="H140" s="435">
        <f>-H70</f>
        <v>-50</v>
      </c>
      <c r="I140" s="433">
        <f>-I70</f>
        <v>-50</v>
      </c>
      <c r="J140" s="436">
        <f>-J70</f>
        <v>-50</v>
      </c>
      <c r="K140" s="536"/>
      <c r="L140" s="536"/>
      <c r="M140" s="536"/>
      <c r="N140" s="536"/>
      <c r="O140" s="537"/>
      <c r="P140" s="538"/>
      <c r="Q140" s="374"/>
    </row>
    <row r="141" spans="1:18" outlineLevel="1" x14ac:dyDescent="0.25">
      <c r="C141" s="464" t="s">
        <v>145</v>
      </c>
      <c r="D141" s="374"/>
      <c r="E141" s="374"/>
      <c r="F141" s="374"/>
      <c r="G141" s="437">
        <f>+G71</f>
        <v>0</v>
      </c>
      <c r="H141" s="437">
        <f>+H71</f>
        <v>0</v>
      </c>
      <c r="I141" s="547">
        <f>+I71</f>
        <v>0</v>
      </c>
      <c r="J141" s="438">
        <f>+J71</f>
        <v>0</v>
      </c>
      <c r="K141" s="548"/>
      <c r="L141" s="548"/>
      <c r="M141" s="548"/>
      <c r="N141" s="548"/>
      <c r="O141" s="549"/>
      <c r="P141" s="550"/>
      <c r="Q141" s="374"/>
    </row>
    <row r="142" spans="1:18" outlineLevel="1" x14ac:dyDescent="0.25">
      <c r="C142" s="425" t="s">
        <v>181</v>
      </c>
      <c r="D142" s="426"/>
      <c r="E142" s="427"/>
      <c r="F142" s="427"/>
      <c r="G142" s="551">
        <f t="shared" ref="G142:J142" si="9">+SUM(G140:G141)</f>
        <v>-350</v>
      </c>
      <c r="H142" s="551">
        <f t="shared" si="9"/>
        <v>-50</v>
      </c>
      <c r="I142" s="551">
        <f t="shared" si="9"/>
        <v>-50</v>
      </c>
      <c r="J142" s="552">
        <f t="shared" si="9"/>
        <v>-50</v>
      </c>
      <c r="K142" s="553"/>
      <c r="L142" s="553"/>
      <c r="M142" s="553"/>
      <c r="N142" s="553"/>
      <c r="O142" s="554"/>
      <c r="P142" s="555"/>
      <c r="Q142" s="374"/>
    </row>
    <row r="143" spans="1:18" outlineLevel="1" x14ac:dyDescent="0.25">
      <c r="D143" s="374"/>
      <c r="E143" s="374"/>
      <c r="F143" s="374"/>
      <c r="K143" s="374"/>
      <c r="L143" s="374"/>
      <c r="M143" s="374"/>
      <c r="N143" s="374"/>
      <c r="O143" s="374"/>
      <c r="P143" s="374"/>
      <c r="Q143" s="394"/>
    </row>
    <row r="144" spans="1:18" outlineLevel="1" x14ac:dyDescent="0.25">
      <c r="C144" s="556" t="s">
        <v>184</v>
      </c>
      <c r="D144" s="374"/>
      <c r="E144" s="374"/>
      <c r="F144" s="374"/>
      <c r="G144" s="435">
        <f>+G123-F123</f>
        <v>100</v>
      </c>
      <c r="H144" s="435">
        <f>+H123-G123+H112-G112</f>
        <v>0</v>
      </c>
      <c r="I144" s="433">
        <f>+I123-H123+I112-H112</f>
        <v>0</v>
      </c>
      <c r="J144" s="436">
        <f>+J123-I123+J112-I112</f>
        <v>0</v>
      </c>
      <c r="K144" s="536"/>
      <c r="L144" s="536"/>
      <c r="M144" s="536"/>
      <c r="N144" s="536"/>
      <c r="O144" s="537"/>
      <c r="P144" s="538"/>
      <c r="Q144" s="374"/>
    </row>
    <row r="145" spans="3:17" outlineLevel="1" x14ac:dyDescent="0.25">
      <c r="C145" s="556" t="s">
        <v>224</v>
      </c>
      <c r="D145" s="374"/>
      <c r="E145" s="374"/>
      <c r="F145" s="374"/>
      <c r="G145" s="435">
        <f>+G125-F125+F88-G88</f>
        <v>0</v>
      </c>
      <c r="H145" s="435">
        <f>+H125-G125+G88-H88</f>
        <v>0</v>
      </c>
      <c r="I145" s="433">
        <f>+I125-H125+H88-I88</f>
        <v>0</v>
      </c>
      <c r="J145" s="436">
        <f>+J125-I125+I88-J88</f>
        <v>0</v>
      </c>
      <c r="K145" s="536"/>
      <c r="L145" s="536"/>
      <c r="M145" s="536"/>
      <c r="N145" s="536"/>
      <c r="O145" s="537"/>
      <c r="P145" s="538"/>
      <c r="Q145" s="374"/>
    </row>
    <row r="146" spans="3:17" outlineLevel="1" x14ac:dyDescent="0.25">
      <c r="C146" s="556" t="s">
        <v>189</v>
      </c>
      <c r="D146" s="374"/>
      <c r="E146" s="374"/>
      <c r="F146" s="374"/>
      <c r="G146" s="435">
        <f>+G112-F112</f>
        <v>0</v>
      </c>
      <c r="H146" s="435">
        <f>+'4. Input_Plan'!H143-'4. Input_Plan'!G143</f>
        <v>0</v>
      </c>
      <c r="I146" s="433">
        <f>+'4. Input_Plan'!I143-'4. Input_Plan'!H143</f>
        <v>0</v>
      </c>
      <c r="J146" s="436">
        <f>+'4. Input_Plan'!J143-'4. Input_Plan'!I143</f>
        <v>0</v>
      </c>
      <c r="K146" s="536"/>
      <c r="L146" s="536"/>
      <c r="M146" s="536"/>
      <c r="N146" s="536"/>
      <c r="O146" s="537"/>
      <c r="P146" s="538"/>
      <c r="Q146" s="374"/>
    </row>
    <row r="147" spans="3:17" outlineLevel="1" x14ac:dyDescent="0.25">
      <c r="C147" s="556" t="s">
        <v>183</v>
      </c>
      <c r="D147" s="374"/>
      <c r="E147" s="374"/>
      <c r="F147" s="374"/>
      <c r="G147" s="437">
        <f>(+G94+G95+G96+G99+G100-F94-F95-F96-F99-F100+G97-F97)*0+G101-F101-G98+F98</f>
        <v>-25</v>
      </c>
      <c r="H147" s="437">
        <f>+H94+H95+H96+H99+H100-G94-G95-G96-G99-G100</f>
        <v>0</v>
      </c>
      <c r="I147" s="547">
        <f>+I94+I95+I96+I99+I100-H94-H95-H96-H99-H100</f>
        <v>0</v>
      </c>
      <c r="J147" s="438">
        <f>+J94+J95+J96+J99+J100-I94-I95-I96-I99-I100</f>
        <v>0</v>
      </c>
      <c r="K147" s="548"/>
      <c r="L147" s="548"/>
      <c r="M147" s="548"/>
      <c r="N147" s="548"/>
      <c r="O147" s="549"/>
      <c r="P147" s="550"/>
      <c r="Q147" s="374"/>
    </row>
    <row r="148" spans="3:17" outlineLevel="1" x14ac:dyDescent="0.25">
      <c r="C148" s="425" t="s">
        <v>185</v>
      </c>
      <c r="D148" s="426"/>
      <c r="E148" s="427"/>
      <c r="F148" s="427"/>
      <c r="G148" s="551">
        <f t="shared" ref="G148:J148" si="10">+SUM(G144:G147)</f>
        <v>75</v>
      </c>
      <c r="H148" s="551">
        <f t="shared" si="10"/>
        <v>0</v>
      </c>
      <c r="I148" s="551">
        <f t="shared" si="10"/>
        <v>0</v>
      </c>
      <c r="J148" s="552">
        <f t="shared" si="10"/>
        <v>0</v>
      </c>
      <c r="K148" s="553"/>
      <c r="L148" s="553"/>
      <c r="M148" s="553"/>
      <c r="N148" s="553"/>
      <c r="O148" s="554"/>
      <c r="P148" s="555"/>
      <c r="Q148" s="374"/>
    </row>
    <row r="149" spans="3:17" outlineLevel="1" x14ac:dyDescent="0.25">
      <c r="C149" s="489"/>
      <c r="D149" s="420"/>
      <c r="E149" s="374"/>
      <c r="F149" s="374"/>
      <c r="G149" s="557"/>
      <c r="H149" s="557"/>
      <c r="I149" s="557"/>
      <c r="K149" s="374"/>
      <c r="L149" s="374"/>
      <c r="M149" s="374"/>
      <c r="N149" s="374"/>
      <c r="O149" s="374"/>
      <c r="P149" s="374"/>
      <c r="Q149" s="374"/>
    </row>
    <row r="150" spans="3:17" outlineLevel="1" x14ac:dyDescent="0.25">
      <c r="C150" s="374" t="s">
        <v>187</v>
      </c>
      <c r="D150" s="420"/>
      <c r="E150" s="374"/>
      <c r="F150" s="374"/>
      <c r="G150" s="435">
        <f t="shared" ref="G150:J150" si="11">+F152</f>
        <v>0</v>
      </c>
      <c r="H150" s="435">
        <f t="shared" si="11"/>
        <v>-254.03333333333342</v>
      </c>
      <c r="I150" s="433">
        <f t="shared" si="11"/>
        <v>-172.23333333333346</v>
      </c>
      <c r="J150" s="436">
        <f t="shared" si="11"/>
        <v>-77.466666666666782</v>
      </c>
      <c r="K150" s="536"/>
      <c r="L150" s="536"/>
      <c r="M150" s="536"/>
      <c r="N150" s="536"/>
      <c r="O150" s="537"/>
      <c r="P150" s="538"/>
      <c r="Q150" s="374"/>
    </row>
    <row r="151" spans="3:17" outlineLevel="1" x14ac:dyDescent="0.25">
      <c r="C151" s="374" t="s">
        <v>186</v>
      </c>
      <c r="D151" s="420"/>
      <c r="E151" s="374"/>
      <c r="F151" s="374"/>
      <c r="G151" s="437">
        <f>+G138+G142+G148</f>
        <v>-254.03333333333342</v>
      </c>
      <c r="H151" s="437">
        <f t="shared" ref="H151:J151" si="12">+H138+H142+H148</f>
        <v>81.799999999999955</v>
      </c>
      <c r="I151" s="547">
        <f t="shared" si="12"/>
        <v>94.76666666666668</v>
      </c>
      <c r="J151" s="438">
        <f t="shared" si="12"/>
        <v>137.80000000000013</v>
      </c>
      <c r="K151" s="548"/>
      <c r="L151" s="548"/>
      <c r="M151" s="548"/>
      <c r="N151" s="548"/>
      <c r="O151" s="549"/>
      <c r="P151" s="550"/>
      <c r="Q151" s="374"/>
    </row>
    <row r="152" spans="3:17" outlineLevel="1" x14ac:dyDescent="0.25">
      <c r="C152" s="389" t="s">
        <v>188</v>
      </c>
      <c r="D152" s="558"/>
      <c r="E152" s="389"/>
      <c r="F152" s="389"/>
      <c r="G152" s="551">
        <f>+SUM(G150:G151)</f>
        <v>-254.03333333333342</v>
      </c>
      <c r="H152" s="551">
        <f t="shared" ref="H152:J152" si="13">+SUM(H150:H151)</f>
        <v>-172.23333333333346</v>
      </c>
      <c r="I152" s="551">
        <f t="shared" si="13"/>
        <v>-77.466666666666782</v>
      </c>
      <c r="J152" s="552">
        <f t="shared" si="13"/>
        <v>60.333333333333343</v>
      </c>
      <c r="K152" s="553"/>
      <c r="L152" s="553"/>
      <c r="M152" s="553"/>
      <c r="N152" s="553"/>
      <c r="O152" s="554"/>
      <c r="P152" s="555"/>
      <c r="Q152" s="374"/>
    </row>
    <row r="153" spans="3:17" x14ac:dyDescent="0.25">
      <c r="D153" s="374"/>
      <c r="E153" s="374"/>
      <c r="F153" s="374"/>
      <c r="K153" s="374"/>
      <c r="L153" s="374"/>
      <c r="M153" s="374"/>
      <c r="N153" s="374"/>
      <c r="O153" s="374"/>
      <c r="P153" s="374"/>
      <c r="Q153" s="374"/>
    </row>
    <row r="154" spans="3:17" x14ac:dyDescent="0.25">
      <c r="D154" s="374"/>
      <c r="E154" s="374"/>
      <c r="F154" s="374"/>
      <c r="G154" s="543" t="str">
        <f>IF(ABS(+G152-G86)&gt;0.1,"Check","OK")</f>
        <v>OK</v>
      </c>
      <c r="H154" s="543" t="str">
        <f t="shared" ref="H154:J154" si="14">IF(ABS(+H152-H86)&gt;0.1,"Check","OK")</f>
        <v>OK</v>
      </c>
      <c r="I154" s="543" t="str">
        <f t="shared" si="14"/>
        <v>OK</v>
      </c>
      <c r="J154" s="543" t="str">
        <f t="shared" si="14"/>
        <v>OK</v>
      </c>
      <c r="K154" s="374"/>
      <c r="L154" s="374"/>
      <c r="M154" s="374"/>
      <c r="N154" s="374"/>
      <c r="O154" s="374"/>
      <c r="P154" s="374"/>
      <c r="Q154" s="374"/>
    </row>
    <row r="155" spans="3:17" x14ac:dyDescent="0.25">
      <c r="D155" s="374"/>
      <c r="E155" s="374"/>
      <c r="F155" s="374"/>
      <c r="G155" s="473">
        <f>ROUND(+ABS(+G152-G86),1)</f>
        <v>0</v>
      </c>
      <c r="H155" s="473">
        <f t="shared" ref="H155:J155" si="15">ROUND(+ABS(+H152-H86),1)</f>
        <v>0</v>
      </c>
      <c r="I155" s="473">
        <f t="shared" si="15"/>
        <v>0</v>
      </c>
      <c r="J155" s="473">
        <f t="shared" si="15"/>
        <v>0</v>
      </c>
      <c r="K155" s="374"/>
      <c r="L155" s="374"/>
      <c r="M155" s="374"/>
      <c r="N155" s="374"/>
      <c r="O155" s="374"/>
      <c r="P155" s="374"/>
      <c r="Q155" s="374"/>
    </row>
    <row r="156" spans="3:17" x14ac:dyDescent="0.25">
      <c r="D156" s="374"/>
      <c r="E156" s="374"/>
      <c r="F156" s="374"/>
      <c r="K156" s="374"/>
      <c r="L156" s="374"/>
      <c r="M156" s="374"/>
      <c r="N156" s="374"/>
      <c r="O156" s="374"/>
      <c r="P156" s="374"/>
      <c r="Q156" s="374"/>
    </row>
    <row r="157" spans="3:17" x14ac:dyDescent="0.25">
      <c r="D157" s="374"/>
      <c r="E157" s="374"/>
      <c r="F157" s="374"/>
      <c r="K157" s="374"/>
      <c r="L157" s="374"/>
      <c r="M157" s="374"/>
      <c r="N157" s="374"/>
      <c r="O157" s="374"/>
      <c r="P157" s="374"/>
      <c r="Q157" s="374"/>
    </row>
    <row r="158" spans="3:17" x14ac:dyDescent="0.25">
      <c r="D158" s="374"/>
      <c r="E158" s="374"/>
      <c r="F158" s="374"/>
      <c r="K158" s="374"/>
      <c r="L158" s="374"/>
      <c r="M158" s="374"/>
      <c r="N158" s="374"/>
      <c r="O158" s="374"/>
      <c r="P158" s="374"/>
      <c r="Q158" s="374"/>
    </row>
    <row r="159" spans="3:17" x14ac:dyDescent="0.25">
      <c r="D159" s="374"/>
      <c r="E159" s="374"/>
      <c r="F159" s="374"/>
      <c r="K159" s="374"/>
      <c r="L159" s="374"/>
      <c r="M159" s="374"/>
      <c r="N159" s="374"/>
      <c r="O159" s="374"/>
      <c r="P159" s="374"/>
      <c r="Q159" s="374"/>
    </row>
    <row r="160" spans="3:17" x14ac:dyDescent="0.25"/>
    <row r="161" spans="1:10" s="197" customFormat="1" ht="15" customHeight="1" x14ac:dyDescent="0.25">
      <c r="A161" s="197" t="s">
        <v>410</v>
      </c>
      <c r="C161" s="561"/>
      <c r="G161" s="561"/>
      <c r="H161" s="561"/>
      <c r="I161" s="561"/>
      <c r="J161" s="561"/>
    </row>
    <row r="162" spans="1:10" x14ac:dyDescent="0.25"/>
    <row r="163" spans="1:10" x14ac:dyDescent="0.25"/>
    <row r="164" spans="1:10" x14ac:dyDescent="0.25"/>
    <row r="165" spans="1:10" x14ac:dyDescent="0.25"/>
    <row r="166" spans="1:10" x14ac:dyDescent="0.25"/>
    <row r="167" spans="1:10" x14ac:dyDescent="0.25"/>
    <row r="168" spans="1:10" x14ac:dyDescent="0.25"/>
    <row r="169" spans="1:10" x14ac:dyDescent="0.25"/>
    <row r="170" spans="1:10" x14ac:dyDescent="0.25"/>
    <row r="171" spans="1:10" x14ac:dyDescent="0.25"/>
    <row r="172" spans="1:10" x14ac:dyDescent="0.25"/>
    <row r="173" spans="1:10" x14ac:dyDescent="0.25"/>
    <row r="174" spans="1:10" x14ac:dyDescent="0.25"/>
    <row r="175" spans="1:10" x14ac:dyDescent="0.25"/>
    <row r="176" spans="1:10"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sheetData>
  <sheetProtection algorithmName="SHA-512" hashValue="WJSANBo9coEJMV5R9E7DnMqOqjZz/OS/mRECTIzjj/VpncMxXwLlhqGcuMGYSfpQC2YEH6QAIQ+dGUC6e2w7Bw==" saltValue="mHEcOxX16rMoN8SytnOm8A==" spinCount="100000" sheet="1" objects="1" scenarios="1"/>
  <mergeCells count="2">
    <mergeCell ref="G13:H13"/>
    <mergeCell ref="G14:H14"/>
  </mergeCells>
  <conditionalFormatting sqref="F97:F98">
    <cfRule type="cellIs" dxfId="52" priority="31" operator="lessThan">
      <formula>0</formula>
    </cfRule>
    <cfRule type="cellIs" dxfId="51" priority="32" operator="greaterThan">
      <formula>0</formula>
    </cfRule>
  </conditionalFormatting>
  <conditionalFormatting sqref="F107">
    <cfRule type="cellIs" dxfId="50" priority="29" operator="lessThan">
      <formula>0</formula>
    </cfRule>
    <cfRule type="cellIs" dxfId="49" priority="30" operator="greaterThan">
      <formula>0</formula>
    </cfRule>
  </conditionalFormatting>
  <conditionalFormatting sqref="F112">
    <cfRule type="cellIs" dxfId="48" priority="27" operator="lessThan">
      <formula>0</formula>
    </cfRule>
    <cfRule type="cellIs" dxfId="47" priority="28" operator="greaterThan">
      <formula>0</formula>
    </cfRule>
  </conditionalFormatting>
  <conditionalFormatting sqref="F117">
    <cfRule type="cellIs" dxfId="46" priority="25" operator="lessThan">
      <formula>0</formula>
    </cfRule>
    <cfRule type="cellIs" dxfId="45" priority="26" operator="greaterThan">
      <formula>0</formula>
    </cfRule>
  </conditionalFormatting>
  <conditionalFormatting sqref="F123">
    <cfRule type="cellIs" dxfId="44" priority="23" operator="lessThan">
      <formula>0</formula>
    </cfRule>
    <cfRule type="cellIs" dxfId="43" priority="24" operator="greaterThan">
      <formula>0</formula>
    </cfRule>
  </conditionalFormatting>
  <conditionalFormatting sqref="F125">
    <cfRule type="cellIs" dxfId="42" priority="21" operator="lessThan">
      <formula>0</formula>
    </cfRule>
    <cfRule type="cellIs" dxfId="41" priority="22" operator="greaterThan">
      <formula>0</formula>
    </cfRule>
  </conditionalFormatting>
  <conditionalFormatting sqref="G13:G14">
    <cfRule type="containsText" dxfId="40" priority="9" operator="containsText" text="OK">
      <formula>NOT(ISERROR(SEARCH("OK",G13)))</formula>
    </cfRule>
    <cfRule type="containsText" dxfId="39" priority="10" operator="containsText" text="CHECK">
      <formula>NOT(ISERROR(SEARCH("CHECK",G13)))</formula>
    </cfRule>
  </conditionalFormatting>
  <conditionalFormatting sqref="G129:J129">
    <cfRule type="containsText" dxfId="38" priority="15" operator="containsText" text="OK">
      <formula>NOT(ISERROR(SEARCH("OK",G129)))</formula>
    </cfRule>
    <cfRule type="containsText" dxfId="37" priority="16" operator="containsText" text="CHECK">
      <formula>NOT(ISERROR(SEARCH("CHECK",G129)))</formula>
    </cfRule>
  </conditionalFormatting>
  <conditionalFormatting sqref="G154:J154">
    <cfRule type="containsText" dxfId="36" priority="13" operator="containsText" text="OK">
      <formula>NOT(ISERROR(SEARCH("OK",G154)))</formula>
    </cfRule>
    <cfRule type="containsText" dxfId="35" priority="14" operator="containsText" text="CHECK">
      <formula>NOT(ISERROR(SEARCH("CHECK",G154)))</formula>
    </cfRule>
  </conditionalFormatting>
  <conditionalFormatting sqref="K129:P129">
    <cfRule type="containsText" dxfId="28" priority="33" operator="containsText" text="OK">
      <formula>NOT(ISERROR(SEARCH("OK",K129)))</formula>
    </cfRule>
    <cfRule type="containsText" dxfId="27" priority="34" operator="containsText" text="CHECK">
      <formula>NOT(ISERROR(SEARCH("CHECK",K129)))</formula>
    </cfRule>
  </conditionalFormatting>
  <hyperlinks>
    <hyperlink ref="C18" location="'4. Input_Plan'!A59" display="GuV" xr:uid="{FD48C5ED-E9EA-4193-B507-A8DADE67B547}"/>
    <hyperlink ref="C17" location="'4. Input_Plan'!A22" display="Allgemeine Plannahmen" xr:uid="{6CAF597C-DCA9-4898-95EF-4128FCADC60A}"/>
    <hyperlink ref="C11" location="'3. Input_Historie'!A26" display="GuV" xr:uid="{901346C6-9087-40E3-B86F-60182EE051E2}"/>
    <hyperlink ref="C7" location="'2. Input_Allgemein'!A24" display="Unternehmensinformationen" xr:uid="{A1D2B670-19DE-4418-AB46-81AA0D0755DF}"/>
    <hyperlink ref="C8" location="'2. Input_Allgemein'!A37" display="Risikofaktoren" xr:uid="{F7521540-8690-4405-9728-71E6BFF4A442}"/>
    <hyperlink ref="C12" location="'3. Input_Historie'!A67" display="Bilanz" xr:uid="{7EAF3EF5-2E14-4A49-8299-3B3B2623300A}"/>
    <hyperlink ref="C13" location="'3. Input_Historie'!A129" display="Bilanz Check" xr:uid="{8BFDAE0C-6836-424E-9F4C-F7B755298DFC}"/>
    <hyperlink ref="C14" location="'3. Input_Historie'!A154" display="Cashflow Rechnung" xr:uid="{40B6418B-DCA3-4DE0-A07E-E22514E93B26}"/>
  </hyperlinks>
  <pageMargins left="0.7" right="0.7" top="0.78740157499999996" bottom="0.78740157499999996" header="0.3" footer="0.3"/>
  <pageSetup paperSize="9" scale="51"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6" id="{2D30D269-12BE-4656-8EAD-3E1FA2DCAF3F}">
            <xm:f>K$57&gt;'2. Input_Allgemein'!$E$38</xm:f>
            <x14:dxf>
              <font>
                <color theme="1" tint="0.499984740745262"/>
              </font>
              <fill>
                <patternFill patternType="lightTrellis">
                  <bgColor theme="2" tint="-9.9948118533890809E-2"/>
                </patternFill>
              </fill>
            </x14:dxf>
          </x14:cfRule>
          <xm:sqref>K27:O27 N29:O29 K30:O30 K34:O38 K41:O42 K45:O53 K56:O58 K61:O62</xm:sqref>
        </x14:conditionalFormatting>
        <x14:conditionalFormatting xmlns:xm="http://schemas.microsoft.com/office/excel/2006/main">
          <x14:cfRule type="expression" priority="7" id="{EB418E85-0944-49E1-A2E4-2728C54D741F}">
            <xm:f>K$57&gt;'2. Input_Allgemein'!$E$38</xm:f>
            <x14:dxf>
              <font>
                <color theme="1" tint="0.499984740745262"/>
              </font>
              <fill>
                <patternFill patternType="lightTrellis">
                  <bgColor theme="2" tint="-9.9948118533890809E-2"/>
                </patternFill>
              </fill>
            </x14:dxf>
          </x14:cfRule>
          <xm:sqref>K69:O74 K76:O77 K79:O84 K86:O86 K88:O88 K90:O90 K94:O101 K103:O107 K109:O112 K114:O117 K119:O123 K125:O125 K127:O127</xm:sqref>
        </x14:conditionalFormatting>
        <x14:conditionalFormatting xmlns:xm="http://schemas.microsoft.com/office/excel/2006/main">
          <x14:cfRule type="expression" priority="4" id="{186DD46F-9AA9-45E3-B978-06A625D9A95B}">
            <xm:f>K$57&gt;'2. Input_Allgemein'!$E$38</xm:f>
            <x14:dxf>
              <font>
                <color theme="1" tint="0.499984740745262"/>
              </font>
              <fill>
                <patternFill patternType="lightTrellis">
                  <bgColor theme="2" tint="-9.9948118533890809E-2"/>
                </patternFill>
              </fill>
            </x14:dxf>
          </x14:cfRule>
          <xm:sqref>K135:O138</xm:sqref>
        </x14:conditionalFormatting>
        <x14:conditionalFormatting xmlns:xm="http://schemas.microsoft.com/office/excel/2006/main">
          <x14:cfRule type="expression" priority="3" id="{1BBCB777-952A-44AE-ABD7-14F80DFA6A24}">
            <xm:f>K$57&gt;'2. Input_Allgemein'!$E$38</xm:f>
            <x14:dxf>
              <font>
                <color theme="1" tint="0.499984740745262"/>
              </font>
              <fill>
                <patternFill patternType="lightTrellis">
                  <bgColor theme="2" tint="-9.9948118533890809E-2"/>
                </patternFill>
              </fill>
            </x14:dxf>
          </x14:cfRule>
          <xm:sqref>K140:O142</xm:sqref>
        </x14:conditionalFormatting>
        <x14:conditionalFormatting xmlns:xm="http://schemas.microsoft.com/office/excel/2006/main">
          <x14:cfRule type="expression" priority="2" id="{F2A1D881-D2C2-4C42-8909-87825D1F2740}">
            <xm:f>K$57&gt;'2. Input_Allgemein'!$E$38</xm:f>
            <x14:dxf>
              <font>
                <color theme="1" tint="0.499984740745262"/>
              </font>
              <fill>
                <patternFill patternType="lightTrellis">
                  <bgColor theme="2" tint="-9.9948118533890809E-2"/>
                </patternFill>
              </fill>
            </x14:dxf>
          </x14:cfRule>
          <xm:sqref>K144:O148</xm:sqref>
        </x14:conditionalFormatting>
        <x14:conditionalFormatting xmlns:xm="http://schemas.microsoft.com/office/excel/2006/main">
          <x14:cfRule type="expression" priority="1" id="{0DE1ACC2-D186-43C3-93D4-3CE27F23A6F4}">
            <xm:f>K$57&gt;'2. Input_Allgemein'!$E$38</xm:f>
            <x14:dxf>
              <font>
                <color theme="1" tint="0.499984740745262"/>
              </font>
              <fill>
                <patternFill patternType="lightTrellis">
                  <bgColor theme="2" tint="-9.9948118533890809E-2"/>
                </patternFill>
              </fill>
            </x14:dxf>
          </x14:cfRule>
          <xm:sqref>K150:O152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0372D-0572-496A-82D2-9DCC6A2F615F}">
  <sheetPr>
    <tabColor theme="0"/>
    <pageSetUpPr fitToPage="1"/>
  </sheetPr>
  <dimension ref="A1:W301"/>
  <sheetViews>
    <sheetView showGridLines="0" zoomScaleNormal="100" workbookViewId="0"/>
  </sheetViews>
  <sheetFormatPr baseColWidth="10" defaultColWidth="11.42578125" defaultRowHeight="15" zeroHeight="1" outlineLevelRow="1" x14ac:dyDescent="0.25"/>
  <cols>
    <col min="1" max="2" width="2.7109375" style="2" customWidth="1"/>
    <col min="3" max="3" width="70.7109375" style="2" customWidth="1"/>
    <col min="4" max="4" width="10.7109375" style="2" customWidth="1"/>
    <col min="5" max="5" width="25.7109375" style="374" customWidth="1"/>
    <col min="6" max="6" width="5.7109375" style="2" customWidth="1"/>
    <col min="7" max="10" width="13.7109375" style="2" customWidth="1"/>
    <col min="11" max="15" width="13.7109375" style="374" customWidth="1"/>
    <col min="16" max="16" width="13.7109375" style="2" customWidth="1"/>
    <col min="17" max="17" width="2.28515625" style="2" customWidth="1"/>
    <col min="18" max="20" width="12.7109375" style="2" customWidth="1"/>
    <col min="21" max="21" width="2.7109375" style="2" customWidth="1"/>
    <col min="22" max="16384" width="11.42578125" style="2"/>
  </cols>
  <sheetData>
    <row r="1" spans="1:17" s="1" customFormat="1" ht="23.25" x14ac:dyDescent="0.35">
      <c r="A1" s="373" t="str">
        <f>+"Erweiterte Unternehmensbewertung - Inputs |"&amp;'2. Input_Allgemein'!E25</f>
        <v>Erweiterte Unternehmensbewertung - Inputs |Beispiel AG</v>
      </c>
      <c r="B1" s="373"/>
      <c r="C1" s="373"/>
      <c r="D1" s="373"/>
      <c r="E1" s="373"/>
      <c r="F1" s="373"/>
      <c r="G1" s="373"/>
      <c r="H1" s="373"/>
      <c r="I1" s="373"/>
      <c r="J1" s="373"/>
      <c r="K1" s="373"/>
      <c r="L1" s="373"/>
      <c r="M1" s="373"/>
      <c r="N1" s="373"/>
      <c r="O1" s="373"/>
      <c r="P1" s="373"/>
      <c r="Q1" s="373"/>
    </row>
    <row r="2" spans="1:17" ht="5.0999999999999996" customHeight="1" x14ac:dyDescent="0.25">
      <c r="A2" s="374"/>
      <c r="B2" s="374"/>
      <c r="C2" s="374"/>
      <c r="D2" s="374"/>
      <c r="F2" s="374"/>
      <c r="G2" s="374"/>
      <c r="H2" s="374"/>
      <c r="I2" s="374"/>
      <c r="J2" s="374"/>
      <c r="P2" s="374"/>
      <c r="Q2" s="374"/>
    </row>
    <row r="3" spans="1:17" x14ac:dyDescent="0.25">
      <c r="A3" s="374"/>
      <c r="B3" s="374"/>
      <c r="C3" s="374"/>
      <c r="D3" s="374"/>
      <c r="F3" s="374"/>
      <c r="G3" s="374"/>
      <c r="H3" s="374"/>
      <c r="I3" s="374"/>
      <c r="J3" s="374"/>
      <c r="P3" s="374"/>
      <c r="Q3" s="374"/>
    </row>
    <row r="4" spans="1:17" s="3" customFormat="1" ht="27" hidden="1" thickBot="1" x14ac:dyDescent="0.45">
      <c r="A4" s="375" t="s">
        <v>508</v>
      </c>
      <c r="B4" s="375"/>
      <c r="C4" s="375"/>
      <c r="D4" s="375"/>
      <c r="E4" s="375"/>
      <c r="F4" s="375"/>
      <c r="G4" s="375"/>
      <c r="H4" s="375"/>
      <c r="I4" s="375"/>
      <c r="J4" s="375"/>
      <c r="K4" s="375"/>
      <c r="L4" s="375"/>
      <c r="M4" s="375"/>
      <c r="N4" s="375"/>
      <c r="O4" s="375"/>
      <c r="P4" s="375"/>
      <c r="Q4" s="375"/>
    </row>
    <row r="5" spans="1:17" hidden="1" x14ac:dyDescent="0.25">
      <c r="A5" s="374"/>
      <c r="B5" s="374"/>
      <c r="C5" s="374"/>
      <c r="D5" s="374"/>
      <c r="E5" s="396"/>
      <c r="F5" s="374"/>
      <c r="G5" s="374"/>
      <c r="H5" s="374"/>
      <c r="I5" s="374"/>
      <c r="J5" s="374"/>
      <c r="P5" s="374"/>
      <c r="Q5" s="374"/>
    </row>
    <row r="6" spans="1:17" ht="15.75" hidden="1" customHeight="1" x14ac:dyDescent="0.25">
      <c r="A6" s="374"/>
      <c r="B6" s="374"/>
      <c r="C6" s="376" t="s">
        <v>3</v>
      </c>
      <c r="D6" s="377"/>
      <c r="E6" s="377"/>
      <c r="F6" s="397"/>
      <c r="G6" s="398" t="s">
        <v>218</v>
      </c>
      <c r="H6" s="399" t="s">
        <v>217</v>
      </c>
      <c r="I6" s="374"/>
      <c r="J6" s="374"/>
      <c r="P6" s="374"/>
      <c r="Q6" s="374"/>
    </row>
    <row r="7" spans="1:17" hidden="1" x14ac:dyDescent="0.25">
      <c r="A7" s="374"/>
      <c r="B7" s="374"/>
      <c r="C7" s="378" t="s">
        <v>216</v>
      </c>
      <c r="D7" s="379"/>
      <c r="E7" s="379"/>
      <c r="F7" s="400"/>
      <c r="G7" s="401">
        <f ca="1">+'2. Input_Allgemein'!G7</f>
        <v>6</v>
      </c>
      <c r="H7" s="93">
        <f>+'2. Input_Allgemein'!H7</f>
        <v>7</v>
      </c>
      <c r="I7" s="374"/>
      <c r="J7" s="374"/>
      <c r="P7" s="374"/>
      <c r="Q7" s="374"/>
    </row>
    <row r="8" spans="1:17" ht="15" hidden="1" customHeight="1" x14ac:dyDescent="0.25">
      <c r="A8" s="374"/>
      <c r="B8" s="374"/>
      <c r="C8" s="380" t="s">
        <v>17</v>
      </c>
      <c r="D8" s="381"/>
      <c r="E8" s="381"/>
      <c r="F8" s="402"/>
      <c r="G8" s="403">
        <f>+'2. Input_Allgemein'!G8</f>
        <v>10</v>
      </c>
      <c r="H8" s="404">
        <f>+'2. Input_Allgemein'!H8</f>
        <v>10</v>
      </c>
      <c r="I8" s="374"/>
      <c r="J8" s="374"/>
      <c r="P8" s="374"/>
      <c r="Q8" s="374"/>
    </row>
    <row r="9" spans="1:17" hidden="1" x14ac:dyDescent="0.25">
      <c r="A9" s="374"/>
      <c r="B9" s="374"/>
      <c r="C9" s="374"/>
      <c r="D9" s="374"/>
      <c r="F9" s="374"/>
      <c r="G9" s="374"/>
      <c r="H9" s="374"/>
      <c r="I9" s="374"/>
      <c r="J9" s="374"/>
      <c r="P9" s="374"/>
      <c r="Q9" s="374"/>
    </row>
    <row r="10" spans="1:17" ht="15.75" hidden="1" x14ac:dyDescent="0.25">
      <c r="A10" s="374"/>
      <c r="B10" s="374"/>
      <c r="C10" s="382" t="s">
        <v>35</v>
      </c>
      <c r="D10" s="383"/>
      <c r="E10" s="383"/>
      <c r="F10" s="397"/>
      <c r="G10" s="398" t="s">
        <v>218</v>
      </c>
      <c r="H10" s="399" t="s">
        <v>217</v>
      </c>
      <c r="I10" s="374"/>
      <c r="J10" s="374"/>
      <c r="P10" s="374"/>
      <c r="Q10" s="374"/>
    </row>
    <row r="11" spans="1:17" hidden="1" x14ac:dyDescent="0.25">
      <c r="A11" s="374"/>
      <c r="B11" s="374"/>
      <c r="C11" s="384" t="s">
        <v>54</v>
      </c>
      <c r="D11" s="379"/>
      <c r="E11" s="379"/>
      <c r="F11" s="400"/>
      <c r="G11" s="401">
        <f>+COUNTA(#REF!,#REF!,#REF!,#REF!,#REF!,#REF!)</f>
        <v>6</v>
      </c>
      <c r="H11" s="93">
        <v>95</v>
      </c>
      <c r="I11" s="374"/>
      <c r="J11" s="374"/>
      <c r="P11" s="374"/>
      <c r="Q11" s="374"/>
    </row>
    <row r="12" spans="1:17" hidden="1" x14ac:dyDescent="0.25">
      <c r="A12" s="374"/>
      <c r="B12" s="374"/>
      <c r="C12" s="380" t="s">
        <v>55</v>
      </c>
      <c r="D12" s="381"/>
      <c r="E12" s="381"/>
      <c r="F12" s="402"/>
      <c r="G12" s="405">
        <f>+COUNTA(#REF!,#REF!,#REF!,#REF!,#REF!,#REF!,#REF!,#REF!,#REF!,#REF!,#REF!,#REF!)</f>
        <v>12</v>
      </c>
      <c r="H12" s="406">
        <v>148</v>
      </c>
      <c r="I12" s="374"/>
      <c r="J12" s="374"/>
      <c r="P12" s="374"/>
      <c r="Q12" s="374"/>
    </row>
    <row r="13" spans="1:17" hidden="1" x14ac:dyDescent="0.25">
      <c r="A13" s="374"/>
      <c r="B13" s="374"/>
      <c r="C13" s="385" t="s">
        <v>219</v>
      </c>
      <c r="D13" s="381"/>
      <c r="E13" s="381"/>
      <c r="F13" s="402"/>
      <c r="G13" s="407" t="str">
        <f>IF(IF(OR(G129="Check",H129="Check",I129="Check",J129="Check"),1,0)=1,"Check","OK")</f>
        <v>OK</v>
      </c>
      <c r="H13" s="408"/>
      <c r="I13" s="374"/>
      <c r="J13" s="374"/>
      <c r="P13" s="374"/>
      <c r="Q13" s="374"/>
    </row>
    <row r="14" spans="1:17" ht="15" hidden="1" customHeight="1" x14ac:dyDescent="0.25">
      <c r="A14" s="374"/>
      <c r="B14" s="374"/>
      <c r="C14" s="385" t="s">
        <v>137</v>
      </c>
      <c r="D14" s="381"/>
      <c r="E14" s="381"/>
      <c r="F14" s="402"/>
      <c r="G14" s="407" t="str">
        <f>IF(IF(OR(G154="Check",H154="Check",I154="Check",J154="Check"),1,0)=1,"Check","OK")</f>
        <v>OK</v>
      </c>
      <c r="H14" s="408"/>
      <c r="I14" s="374"/>
      <c r="J14" s="374"/>
      <c r="P14" s="374"/>
      <c r="Q14" s="374"/>
    </row>
    <row r="15" spans="1:17" hidden="1" x14ac:dyDescent="0.25">
      <c r="A15" s="374"/>
      <c r="B15" s="374"/>
      <c r="C15" s="374"/>
      <c r="D15" s="374"/>
      <c r="F15" s="374"/>
      <c r="G15" s="374"/>
      <c r="H15" s="374"/>
      <c r="I15" s="374"/>
      <c r="J15" s="374"/>
      <c r="P15" s="374"/>
      <c r="Q15" s="374"/>
    </row>
    <row r="16" spans="1:17" ht="15.75" hidden="1" x14ac:dyDescent="0.25">
      <c r="A16" s="374"/>
      <c r="B16" s="374"/>
      <c r="C16" s="376" t="s">
        <v>64</v>
      </c>
      <c r="D16" s="377"/>
      <c r="E16" s="377"/>
      <c r="F16" s="397"/>
      <c r="G16" s="398" t="s">
        <v>218</v>
      </c>
      <c r="H16" s="399" t="s">
        <v>217</v>
      </c>
      <c r="I16" s="374"/>
      <c r="J16" s="374"/>
      <c r="P16" s="374"/>
      <c r="Q16" s="374"/>
    </row>
    <row r="17" spans="1:23" hidden="1" x14ac:dyDescent="0.25">
      <c r="A17" s="374"/>
      <c r="B17" s="374"/>
      <c r="C17" s="386" t="s">
        <v>543</v>
      </c>
      <c r="D17" s="379"/>
      <c r="E17" s="379"/>
      <c r="F17" s="400"/>
      <c r="G17" s="401">
        <f>+COUNTA(#REF!,#REF!,#REF!)</f>
        <v>3</v>
      </c>
      <c r="H17" s="93">
        <v>75</v>
      </c>
      <c r="I17" s="374"/>
      <c r="J17" s="374"/>
      <c r="P17" s="374"/>
      <c r="Q17" s="374"/>
    </row>
    <row r="18" spans="1:23" hidden="1" x14ac:dyDescent="0.25">
      <c r="A18" s="374"/>
      <c r="B18" s="374"/>
      <c r="C18" s="380" t="s">
        <v>54</v>
      </c>
      <c r="D18" s="381"/>
      <c r="E18" s="381"/>
      <c r="F18" s="402"/>
      <c r="G18" s="403">
        <f>+COUNTA(#REF!,#REF!,#REF!)</f>
        <v>3</v>
      </c>
      <c r="H18" s="404">
        <v>75</v>
      </c>
      <c r="I18" s="374"/>
      <c r="J18" s="374"/>
      <c r="P18" s="374"/>
      <c r="Q18" s="374"/>
    </row>
    <row r="19" spans="1:23" hidden="1" x14ac:dyDescent="0.25">
      <c r="A19" s="374"/>
      <c r="B19" s="374"/>
      <c r="C19" s="380" t="s">
        <v>55</v>
      </c>
      <c r="D19" s="381"/>
      <c r="E19" s="381"/>
      <c r="F19" s="402"/>
      <c r="G19" s="403">
        <f>+COUNTA(#REF!,#REF!,#REF!,#REF!,#REF!,#REF!,#REF!,#REF!,#REF!)</f>
        <v>9</v>
      </c>
      <c r="H19" s="404">
        <v>140</v>
      </c>
      <c r="I19" s="374"/>
      <c r="J19" s="374"/>
      <c r="P19" s="374"/>
      <c r="Q19" s="374"/>
    </row>
    <row r="20" spans="1:23" hidden="1" x14ac:dyDescent="0.25">
      <c r="A20" s="374"/>
      <c r="B20" s="374"/>
      <c r="C20" s="374"/>
      <c r="D20" s="374"/>
      <c r="F20" s="374"/>
      <c r="G20" s="374"/>
      <c r="H20" s="374"/>
      <c r="I20" s="374"/>
      <c r="J20" s="374"/>
      <c r="P20" s="374"/>
      <c r="Q20" s="374"/>
    </row>
    <row r="21" spans="1:23" ht="5.0999999999999996" customHeight="1" x14ac:dyDescent="0.25">
      <c r="A21" s="374"/>
      <c r="B21" s="374"/>
      <c r="C21" s="374"/>
      <c r="D21" s="374"/>
      <c r="F21" s="374"/>
      <c r="G21" s="374"/>
      <c r="H21" s="374"/>
      <c r="I21" s="374"/>
      <c r="J21" s="374"/>
      <c r="P21" s="374"/>
      <c r="Q21" s="374"/>
    </row>
    <row r="22" spans="1:23" s="3" customFormat="1" ht="27" thickBot="1" x14ac:dyDescent="0.45">
      <c r="A22" s="375" t="s">
        <v>530</v>
      </c>
      <c r="B22" s="375"/>
      <c r="C22" s="375"/>
      <c r="D22" s="375"/>
      <c r="E22" s="375"/>
      <c r="F22" s="375"/>
      <c r="G22" s="375"/>
      <c r="H22" s="375" t="s">
        <v>28</v>
      </c>
      <c r="I22" s="375"/>
      <c r="J22" s="375"/>
      <c r="K22" s="375"/>
      <c r="L22" s="375"/>
      <c r="M22" s="375"/>
      <c r="N22" s="375"/>
      <c r="O22" s="375"/>
      <c r="P22" s="375"/>
      <c r="Q22" s="375"/>
    </row>
    <row r="23" spans="1:23" x14ac:dyDescent="0.25">
      <c r="A23" s="374"/>
      <c r="B23" s="374"/>
      <c r="C23" s="374"/>
      <c r="D23" s="374"/>
      <c r="F23" s="374"/>
      <c r="G23" s="374"/>
      <c r="H23" s="374"/>
      <c r="I23" s="374"/>
      <c r="J23" s="374"/>
      <c r="P23" s="374"/>
      <c r="Q23" s="374"/>
    </row>
    <row r="24" spans="1:23" ht="22.5" x14ac:dyDescent="0.35">
      <c r="A24" s="374"/>
      <c r="B24" s="374"/>
      <c r="C24" s="387" t="s">
        <v>82</v>
      </c>
      <c r="D24" s="374"/>
      <c r="F24" s="374"/>
      <c r="G24" s="374"/>
      <c r="H24" s="374"/>
      <c r="I24" s="374"/>
      <c r="J24" s="374"/>
      <c r="P24" s="374"/>
      <c r="Q24" s="374"/>
    </row>
    <row r="25" spans="1:23" x14ac:dyDescent="0.25">
      <c r="A25" s="374"/>
      <c r="B25" s="374"/>
      <c r="C25" s="374"/>
      <c r="D25" s="374"/>
      <c r="F25" s="374"/>
      <c r="G25" s="374"/>
      <c r="H25" s="374"/>
      <c r="I25" s="374"/>
      <c r="J25" s="374"/>
      <c r="P25" s="374"/>
      <c r="Q25" s="374"/>
    </row>
    <row r="26" spans="1:23" x14ac:dyDescent="0.25">
      <c r="A26" s="374"/>
      <c r="B26" s="374"/>
      <c r="C26" s="374" t="s">
        <v>97</v>
      </c>
      <c r="D26" s="388" t="s">
        <v>83</v>
      </c>
      <c r="E26" s="690">
        <v>7</v>
      </c>
      <c r="F26" s="374"/>
      <c r="G26" s="392" t="s">
        <v>519</v>
      </c>
      <c r="H26" s="374"/>
      <c r="I26" s="374"/>
      <c r="J26" s="374"/>
      <c r="P26" s="374"/>
      <c r="Q26" s="374"/>
      <c r="R26" s="374"/>
      <c r="S26" s="374"/>
      <c r="T26" s="374"/>
      <c r="U26" s="374"/>
      <c r="V26" s="374"/>
      <c r="W26" s="374"/>
    </row>
    <row r="27" spans="1:23" x14ac:dyDescent="0.25">
      <c r="A27" s="374"/>
      <c r="B27" s="374"/>
      <c r="C27" s="374" t="s">
        <v>98</v>
      </c>
      <c r="D27" s="388" t="s">
        <v>83</v>
      </c>
      <c r="E27" s="690">
        <v>7</v>
      </c>
      <c r="F27" s="374"/>
      <c r="G27" s="392" t="s">
        <v>520</v>
      </c>
      <c r="H27" s="374"/>
      <c r="I27" s="374"/>
      <c r="J27" s="374"/>
      <c r="P27" s="374"/>
      <c r="Q27" s="374"/>
      <c r="R27" s="374"/>
      <c r="S27" s="374"/>
      <c r="T27" s="374"/>
      <c r="U27" s="374"/>
      <c r="V27" s="374"/>
      <c r="W27" s="374"/>
    </row>
    <row r="28" spans="1:23" x14ac:dyDescent="0.25">
      <c r="A28" s="374"/>
      <c r="B28" s="374"/>
      <c r="C28" s="374"/>
      <c r="D28" s="374"/>
      <c r="F28" s="374"/>
      <c r="G28" s="374"/>
      <c r="H28" s="374"/>
      <c r="I28" s="374"/>
      <c r="J28" s="374"/>
      <c r="P28" s="374"/>
      <c r="Q28" s="374"/>
      <c r="R28" s="374"/>
      <c r="S28" s="374"/>
      <c r="T28" s="374"/>
      <c r="U28" s="374"/>
      <c r="V28" s="374"/>
      <c r="W28" s="374"/>
    </row>
    <row r="29" spans="1:23" x14ac:dyDescent="0.25">
      <c r="A29" s="374"/>
      <c r="B29" s="374"/>
      <c r="C29" s="374"/>
      <c r="D29" s="374"/>
      <c r="F29" s="374"/>
      <c r="G29" s="374"/>
      <c r="H29" s="374"/>
      <c r="I29" s="374"/>
      <c r="J29" s="374"/>
      <c r="P29" s="374"/>
      <c r="Q29" s="374"/>
      <c r="R29" s="374"/>
      <c r="S29" s="374"/>
      <c r="T29" s="374"/>
      <c r="U29" s="374"/>
      <c r="V29" s="374"/>
      <c r="W29" s="374"/>
    </row>
    <row r="30" spans="1:23" ht="22.5" x14ac:dyDescent="0.35">
      <c r="A30" s="374"/>
      <c r="B30" s="374"/>
      <c r="C30" s="387" t="s">
        <v>202</v>
      </c>
      <c r="D30" s="374"/>
      <c r="F30" s="374"/>
      <c r="G30" s="374"/>
      <c r="H30" s="374"/>
      <c r="I30" s="374"/>
      <c r="J30" s="374"/>
      <c r="P30" s="374"/>
      <c r="Q30" s="374"/>
      <c r="R30" s="374"/>
      <c r="S30" s="374"/>
      <c r="T30" s="374"/>
      <c r="U30" s="374"/>
      <c r="V30" s="374"/>
      <c r="W30" s="374"/>
    </row>
    <row r="31" spans="1:23" x14ac:dyDescent="0.25">
      <c r="A31" s="374"/>
      <c r="B31" s="374"/>
      <c r="C31" s="374"/>
      <c r="D31" s="374"/>
      <c r="F31" s="374"/>
      <c r="G31" s="374"/>
      <c r="H31" s="374"/>
      <c r="I31" s="374"/>
      <c r="J31" s="374"/>
      <c r="P31" s="374"/>
      <c r="Q31" s="374"/>
      <c r="R31" s="374"/>
      <c r="S31" s="374"/>
      <c r="T31" s="374"/>
      <c r="U31" s="374"/>
      <c r="V31" s="374"/>
      <c r="W31" s="374"/>
    </row>
    <row r="32" spans="1:23" x14ac:dyDescent="0.25">
      <c r="A32" s="374"/>
      <c r="B32" s="374"/>
      <c r="C32" s="374" t="s">
        <v>203</v>
      </c>
      <c r="D32" s="388" t="s">
        <v>41</v>
      </c>
      <c r="E32" s="691">
        <v>0.05</v>
      </c>
      <c r="F32" s="374"/>
      <c r="G32" s="374"/>
      <c r="H32" s="374"/>
      <c r="I32" s="374"/>
      <c r="J32" s="374"/>
      <c r="P32" s="374"/>
      <c r="Q32" s="374"/>
      <c r="R32" s="374"/>
      <c r="S32" s="374"/>
      <c r="T32" s="374"/>
      <c r="U32" s="374"/>
      <c r="V32" s="374"/>
      <c r="W32" s="374"/>
    </row>
    <row r="33" spans="1:23" x14ac:dyDescent="0.25">
      <c r="A33" s="374"/>
      <c r="B33" s="374"/>
      <c r="C33" s="374" t="s">
        <v>204</v>
      </c>
      <c r="D33" s="388" t="s">
        <v>41</v>
      </c>
      <c r="E33" s="691">
        <v>0.05</v>
      </c>
      <c r="F33" s="374"/>
      <c r="G33" s="374"/>
      <c r="H33" s="374"/>
      <c r="I33" s="374"/>
      <c r="J33" s="374"/>
      <c r="P33" s="374"/>
      <c r="Q33" s="374"/>
      <c r="R33" s="392"/>
      <c r="S33" s="374"/>
      <c r="T33" s="374"/>
      <c r="U33" s="374"/>
      <c r="V33" s="374"/>
      <c r="W33" s="374"/>
    </row>
    <row r="34" spans="1:23" x14ac:dyDescent="0.25">
      <c r="A34" s="374"/>
      <c r="B34" s="374"/>
      <c r="C34" s="374" t="s">
        <v>531</v>
      </c>
      <c r="D34" s="388" t="s">
        <v>41</v>
      </c>
      <c r="E34" s="691">
        <v>0.02</v>
      </c>
      <c r="F34" s="374"/>
      <c r="G34" s="374"/>
      <c r="H34" s="374"/>
      <c r="I34" s="374"/>
      <c r="J34" s="374"/>
      <c r="P34" s="374"/>
      <c r="Q34" s="374"/>
      <c r="R34" s="374"/>
      <c r="S34" s="374"/>
      <c r="T34" s="374"/>
      <c r="U34" s="374"/>
      <c r="V34" s="374"/>
      <c r="W34" s="374"/>
    </row>
    <row r="35" spans="1:23" x14ac:dyDescent="0.25">
      <c r="A35" s="374"/>
      <c r="B35" s="374"/>
      <c r="C35" s="374" t="s">
        <v>205</v>
      </c>
      <c r="D35" s="388" t="s">
        <v>37</v>
      </c>
      <c r="E35" s="690">
        <v>150</v>
      </c>
      <c r="F35" s="374"/>
      <c r="G35" s="374"/>
      <c r="H35" s="374"/>
      <c r="I35" s="374"/>
      <c r="J35" s="374"/>
      <c r="P35" s="374"/>
      <c r="Q35" s="374"/>
      <c r="R35" s="374"/>
      <c r="S35" s="374"/>
      <c r="T35" s="374"/>
      <c r="U35" s="374"/>
      <c r="V35" s="374"/>
      <c r="W35" s="374"/>
    </row>
    <row r="36" spans="1:23" x14ac:dyDescent="0.25">
      <c r="A36" s="374"/>
      <c r="B36" s="374"/>
      <c r="C36" s="374"/>
      <c r="D36" s="388"/>
      <c r="F36" s="374"/>
      <c r="G36" s="374"/>
      <c r="H36" s="374"/>
      <c r="I36" s="374"/>
      <c r="J36" s="374"/>
      <c r="L36" s="394"/>
      <c r="P36" s="374"/>
      <c r="Q36" s="374"/>
      <c r="R36" s="374"/>
      <c r="S36" s="374"/>
      <c r="T36" s="374"/>
      <c r="U36" s="374"/>
      <c r="V36" s="374"/>
      <c r="W36" s="374"/>
    </row>
    <row r="37" spans="1:23" x14ac:dyDescent="0.25">
      <c r="A37" s="374"/>
      <c r="B37" s="374"/>
      <c r="C37" s="374"/>
      <c r="D37" s="374"/>
      <c r="F37" s="374"/>
      <c r="G37" s="374"/>
      <c r="H37" s="374"/>
      <c r="I37" s="374"/>
      <c r="J37" s="374"/>
      <c r="P37" s="374"/>
      <c r="Q37" s="374"/>
      <c r="R37" s="374"/>
      <c r="S37" s="374"/>
      <c r="T37" s="374"/>
      <c r="U37" s="374"/>
      <c r="V37" s="374"/>
      <c r="W37" s="374"/>
    </row>
    <row r="38" spans="1:23" ht="22.5" x14ac:dyDescent="0.35">
      <c r="A38" s="374"/>
      <c r="B38" s="374"/>
      <c r="C38" s="387" t="s">
        <v>52</v>
      </c>
      <c r="D38" s="374"/>
      <c r="F38" s="374"/>
      <c r="G38" s="374"/>
      <c r="H38" s="374"/>
      <c r="I38" s="374"/>
      <c r="J38" s="374"/>
      <c r="P38" s="374"/>
      <c r="Q38" s="374"/>
      <c r="R38" s="374"/>
      <c r="S38" s="374"/>
      <c r="T38" s="374"/>
      <c r="U38" s="374"/>
      <c r="V38" s="374"/>
      <c r="W38" s="374"/>
    </row>
    <row r="39" spans="1:23" x14ac:dyDescent="0.25">
      <c r="A39" s="374"/>
      <c r="B39" s="374"/>
      <c r="C39" s="374"/>
      <c r="D39" s="374"/>
      <c r="F39" s="374"/>
      <c r="G39" s="374"/>
      <c r="H39" s="374"/>
      <c r="I39" s="374"/>
      <c r="J39" s="374"/>
      <c r="P39" s="374"/>
      <c r="Q39" s="374"/>
      <c r="R39" s="374"/>
      <c r="S39" s="374"/>
      <c r="T39" s="374"/>
      <c r="U39" s="374"/>
      <c r="V39" s="374"/>
      <c r="W39" s="374"/>
    </row>
    <row r="40" spans="1:23" x14ac:dyDescent="0.25">
      <c r="A40" s="374"/>
      <c r="B40" s="374"/>
      <c r="C40" s="374" t="s">
        <v>2</v>
      </c>
      <c r="D40" s="374"/>
      <c r="E40" s="411" t="str">
        <f>+'2. Input_Allgemein'!E29</f>
        <v>Kapitalgesellschaft</v>
      </c>
      <c r="F40" s="374"/>
      <c r="G40" s="392" t="s">
        <v>512</v>
      </c>
      <c r="H40" s="374"/>
      <c r="I40" s="374"/>
      <c r="J40" s="374"/>
      <c r="P40" s="374"/>
      <c r="Q40" s="374"/>
      <c r="R40" s="374"/>
      <c r="S40" s="374"/>
      <c r="T40" s="374"/>
      <c r="U40" s="374"/>
      <c r="V40" s="374"/>
      <c r="W40" s="374"/>
    </row>
    <row r="41" spans="1:23" x14ac:dyDescent="0.25">
      <c r="A41" s="374"/>
      <c r="B41" s="374"/>
      <c r="C41" s="374" t="s">
        <v>510</v>
      </c>
      <c r="D41" s="388" t="s">
        <v>41</v>
      </c>
      <c r="E41" s="691">
        <v>3.5</v>
      </c>
      <c r="F41" s="374"/>
      <c r="G41" s="392" t="s">
        <v>513</v>
      </c>
      <c r="H41" s="374"/>
      <c r="I41" s="374"/>
      <c r="J41" s="374"/>
      <c r="P41" s="374"/>
      <c r="Q41" s="374"/>
      <c r="R41" s="374"/>
      <c r="S41" s="374"/>
      <c r="T41" s="374"/>
      <c r="U41" s="374"/>
      <c r="V41" s="374"/>
      <c r="W41" s="374"/>
    </row>
    <row r="42" spans="1:23" x14ac:dyDescent="0.25">
      <c r="A42" s="374"/>
      <c r="B42" s="374"/>
      <c r="C42" s="374" t="s">
        <v>511</v>
      </c>
      <c r="D42" s="388" t="s">
        <v>41</v>
      </c>
      <c r="E42" s="391">
        <v>3.5000000000000003E-2</v>
      </c>
      <c r="F42" s="374"/>
      <c r="G42" s="392"/>
      <c r="H42" s="374"/>
      <c r="I42" s="374"/>
      <c r="J42" s="374"/>
      <c r="P42" s="374"/>
      <c r="Q42" s="374"/>
      <c r="R42" s="374"/>
      <c r="S42" s="374"/>
      <c r="T42" s="374"/>
      <c r="U42" s="374"/>
      <c r="V42" s="374"/>
      <c r="W42" s="374"/>
    </row>
    <row r="43" spans="1:23" x14ac:dyDescent="0.25">
      <c r="A43" s="374"/>
      <c r="B43" s="374"/>
      <c r="C43" s="374" t="s">
        <v>109</v>
      </c>
      <c r="D43" s="388" t="s">
        <v>41</v>
      </c>
      <c r="E43" s="393">
        <f>+E41*E42</f>
        <v>0.12250000000000001</v>
      </c>
      <c r="F43" s="374"/>
      <c r="G43" s="392"/>
      <c r="H43" s="374"/>
      <c r="I43" s="374"/>
      <c r="J43" s="374"/>
      <c r="P43" s="374"/>
      <c r="Q43" s="374"/>
      <c r="R43" s="374"/>
      <c r="S43" s="374"/>
      <c r="T43" s="374"/>
      <c r="U43" s="374"/>
      <c r="V43" s="374"/>
      <c r="W43" s="374"/>
    </row>
    <row r="44" spans="1:23" x14ac:dyDescent="0.25">
      <c r="A44" s="374"/>
      <c r="B44" s="374"/>
      <c r="C44" s="374" t="s">
        <v>110</v>
      </c>
      <c r="D44" s="388" t="s">
        <v>41</v>
      </c>
      <c r="E44" s="393">
        <f>IF(E40="Kapitalgesellschaft",15%*1.055,0)</f>
        <v>0.15824999999999997</v>
      </c>
      <c r="F44" s="374"/>
      <c r="G44" s="392" t="s">
        <v>111</v>
      </c>
      <c r="H44" s="374"/>
      <c r="I44" s="374"/>
      <c r="J44" s="374"/>
      <c r="K44" s="394"/>
      <c r="P44" s="374"/>
      <c r="Q44" s="374"/>
      <c r="R44" s="374"/>
      <c r="S44" s="374"/>
      <c r="T44" s="374"/>
      <c r="U44" s="374"/>
      <c r="V44" s="374"/>
      <c r="W44" s="374"/>
    </row>
    <row r="45" spans="1:23" x14ac:dyDescent="0.25">
      <c r="A45" s="374"/>
      <c r="B45" s="374"/>
      <c r="C45" s="389" t="s">
        <v>108</v>
      </c>
      <c r="D45" s="390" t="s">
        <v>41</v>
      </c>
      <c r="E45" s="395">
        <f>+E43+E44</f>
        <v>0.28075</v>
      </c>
      <c r="F45" s="374"/>
      <c r="G45" s="374"/>
      <c r="H45" s="374"/>
      <c r="I45" s="374"/>
      <c r="J45" s="374"/>
      <c r="P45" s="374"/>
      <c r="Q45" s="374"/>
      <c r="R45" s="374"/>
      <c r="S45" s="374"/>
      <c r="T45" s="374"/>
      <c r="U45" s="374"/>
      <c r="V45" s="374"/>
      <c r="W45" s="374"/>
    </row>
    <row r="46" spans="1:23" x14ac:dyDescent="0.25">
      <c r="A46" s="374"/>
      <c r="B46" s="374"/>
      <c r="C46" s="374"/>
      <c r="D46" s="374"/>
      <c r="F46" s="374"/>
      <c r="G46" s="374"/>
      <c r="H46" s="374"/>
      <c r="I46" s="374"/>
      <c r="J46" s="374"/>
      <c r="P46" s="374"/>
      <c r="Q46" s="374"/>
      <c r="R46" s="374"/>
      <c r="S46" s="374"/>
      <c r="T46" s="374"/>
      <c r="U46" s="374"/>
      <c r="V46" s="374"/>
      <c r="W46" s="374"/>
    </row>
    <row r="47" spans="1:23" x14ac:dyDescent="0.25">
      <c r="A47" s="374"/>
      <c r="B47" s="374"/>
      <c r="C47" s="374"/>
      <c r="D47" s="374"/>
      <c r="F47" s="374"/>
      <c r="G47" s="374"/>
      <c r="H47" s="374"/>
      <c r="I47" s="374"/>
      <c r="J47" s="374"/>
      <c r="P47" s="374"/>
      <c r="Q47" s="374"/>
      <c r="R47" s="374"/>
      <c r="S47" s="374"/>
      <c r="T47" s="374"/>
      <c r="U47" s="374"/>
      <c r="V47" s="374"/>
      <c r="W47" s="374"/>
    </row>
    <row r="48" spans="1:23" ht="22.5" x14ac:dyDescent="0.35">
      <c r="A48" s="374"/>
      <c r="B48" s="374"/>
      <c r="C48" s="387" t="s">
        <v>509</v>
      </c>
      <c r="D48" s="374"/>
      <c r="F48" s="374"/>
      <c r="G48" s="374"/>
      <c r="H48" s="374"/>
      <c r="I48" s="374"/>
      <c r="J48" s="374"/>
      <c r="P48" s="374"/>
      <c r="Q48" s="374"/>
      <c r="R48" s="374"/>
      <c r="S48" s="374"/>
      <c r="T48" s="374"/>
      <c r="U48" s="374"/>
      <c r="V48" s="374"/>
      <c r="W48" s="374"/>
    </row>
    <row r="49" spans="1:23" x14ac:dyDescent="0.25">
      <c r="A49" s="374"/>
      <c r="B49" s="374"/>
      <c r="C49" s="374"/>
      <c r="D49" s="374"/>
      <c r="F49" s="374"/>
      <c r="G49" s="374"/>
      <c r="H49" s="374"/>
      <c r="I49" s="374"/>
      <c r="J49" s="374"/>
      <c r="P49" s="374"/>
      <c r="Q49" s="374"/>
      <c r="R49" s="374"/>
      <c r="S49" s="374"/>
      <c r="T49" s="374"/>
      <c r="U49" s="374"/>
      <c r="V49" s="374"/>
      <c r="W49" s="374"/>
    </row>
    <row r="50" spans="1:23" x14ac:dyDescent="0.25">
      <c r="A50" s="374"/>
      <c r="B50" s="374"/>
      <c r="C50" s="374" t="s">
        <v>129</v>
      </c>
      <c r="D50" s="374"/>
      <c r="E50" s="692">
        <f>+'3. Management Summary'!G30</f>
        <v>1.4999999999999999E-2</v>
      </c>
      <c r="F50" s="374"/>
      <c r="G50" s="392" t="s">
        <v>521</v>
      </c>
      <c r="H50" s="374"/>
      <c r="I50" s="374"/>
      <c r="J50" s="374"/>
      <c r="P50" s="374"/>
      <c r="Q50" s="374"/>
      <c r="R50" s="374"/>
      <c r="S50" s="374"/>
      <c r="T50" s="374"/>
      <c r="U50" s="374"/>
      <c r="V50" s="409">
        <f>+IF(E50="bitte auswählen",0,E50)</f>
        <v>1.4999999999999999E-2</v>
      </c>
      <c r="W50" s="374"/>
    </row>
    <row r="51" spans="1:23" x14ac:dyDescent="0.25">
      <c r="A51" s="374"/>
      <c r="B51" s="374"/>
      <c r="C51" s="374"/>
      <c r="D51" s="374"/>
      <c r="F51" s="374"/>
      <c r="G51" s="374"/>
      <c r="H51" s="374"/>
      <c r="I51" s="374"/>
      <c r="J51" s="374"/>
      <c r="P51" s="374"/>
      <c r="Q51" s="374"/>
      <c r="R51" s="374"/>
      <c r="S51" s="374"/>
      <c r="T51" s="374"/>
      <c r="U51" s="374"/>
      <c r="V51" s="410"/>
      <c r="W51" s="374"/>
    </row>
    <row r="52" spans="1:23" x14ac:dyDescent="0.25">
      <c r="C52" s="374"/>
      <c r="D52" s="374"/>
      <c r="F52" s="374"/>
      <c r="G52" s="374"/>
      <c r="H52" s="374"/>
      <c r="I52" s="374"/>
      <c r="J52" s="374"/>
      <c r="P52" s="374"/>
      <c r="Q52" s="374"/>
      <c r="R52" s="374"/>
      <c r="S52" s="374"/>
      <c r="T52" s="374"/>
      <c r="U52" s="374"/>
      <c r="V52" s="374"/>
      <c r="W52" s="374"/>
    </row>
    <row r="53" spans="1:23" s="3" customFormat="1" ht="27" thickBot="1" x14ac:dyDescent="0.45">
      <c r="A53" s="3" t="s">
        <v>574</v>
      </c>
      <c r="C53" s="375"/>
      <c r="D53" s="375"/>
      <c r="E53" s="375"/>
      <c r="F53" s="375"/>
      <c r="G53" s="375"/>
      <c r="H53" s="375" t="s">
        <v>28</v>
      </c>
      <c r="I53" s="375"/>
      <c r="J53" s="375"/>
      <c r="K53" s="375"/>
      <c r="L53" s="375"/>
      <c r="M53" s="375"/>
      <c r="N53" s="375"/>
      <c r="O53" s="375"/>
      <c r="P53" s="375"/>
      <c r="Q53" s="375"/>
      <c r="R53" s="375"/>
      <c r="S53" s="375"/>
      <c r="T53" s="375"/>
      <c r="U53" s="375"/>
      <c r="V53" s="375"/>
      <c r="W53" s="375"/>
    </row>
    <row r="54" spans="1:23" x14ac:dyDescent="0.25">
      <c r="C54" s="374"/>
      <c r="D54" s="374"/>
      <c r="F54" s="374"/>
      <c r="G54" s="374"/>
      <c r="H54" s="374"/>
      <c r="I54" s="374"/>
      <c r="J54" s="374"/>
    </row>
    <row r="55" spans="1:23" ht="22.5" x14ac:dyDescent="0.35">
      <c r="A55" s="5" t="s">
        <v>504</v>
      </c>
      <c r="B55" s="5"/>
      <c r="C55" s="387"/>
      <c r="D55" s="374"/>
      <c r="F55" s="374"/>
      <c r="G55" s="374"/>
      <c r="H55" s="374"/>
      <c r="I55" s="374"/>
      <c r="J55" s="374"/>
    </row>
    <row r="56" spans="1:23" x14ac:dyDescent="0.25">
      <c r="C56" s="374"/>
      <c r="D56" s="374"/>
      <c r="F56" s="374"/>
      <c r="G56" s="412"/>
      <c r="H56" s="412"/>
      <c r="I56" s="412"/>
      <c r="J56" s="413" t="s">
        <v>38</v>
      </c>
      <c r="K56" s="480" t="s">
        <v>39</v>
      </c>
      <c r="L56" s="480"/>
      <c r="M56" s="480"/>
      <c r="N56" s="480"/>
      <c r="O56" s="488"/>
      <c r="P56" s="309" t="s">
        <v>104</v>
      </c>
    </row>
    <row r="57" spans="1:23" x14ac:dyDescent="0.25">
      <c r="C57" s="374"/>
      <c r="D57" s="374"/>
      <c r="F57" s="374"/>
      <c r="G57" s="414">
        <f ca="1">+'3. Input_Historie'!G26</f>
        <v>2023</v>
      </c>
      <c r="H57" s="414">
        <f ca="1">+'3. Input_Historie'!H26</f>
        <v>2024</v>
      </c>
      <c r="I57" s="414">
        <f ca="1">+'3. Input_Historie'!I26</f>
        <v>2025</v>
      </c>
      <c r="J57" s="415">
        <f ca="1">+'3. Input_Historie'!J26</f>
        <v>2026</v>
      </c>
      <c r="K57" s="482">
        <f ca="1">+J57+1</f>
        <v>2027</v>
      </c>
      <c r="L57" s="483">
        <f ca="1">+K57+1</f>
        <v>2028</v>
      </c>
      <c r="M57" s="483">
        <f ca="1">+L57+1</f>
        <v>2029</v>
      </c>
      <c r="N57" s="483">
        <f ca="1">+M57+1</f>
        <v>2030</v>
      </c>
      <c r="O57" s="490">
        <f ca="1">+N57+1</f>
        <v>2031</v>
      </c>
      <c r="P57" s="310">
        <f ca="1">+OFFSET(J57,,'2. Input_Allgemein'!$E$36)+1</f>
        <v>2032</v>
      </c>
    </row>
    <row r="58" spans="1:23" x14ac:dyDescent="0.25">
      <c r="C58" s="374" t="s">
        <v>36</v>
      </c>
      <c r="D58" s="388" t="s">
        <v>37</v>
      </c>
      <c r="F58" s="416"/>
      <c r="G58" s="417">
        <f>+'3. Input_Historie'!G27</f>
        <v>463.33333333333337</v>
      </c>
      <c r="H58" s="417">
        <f>+'3. Input_Historie'!H27</f>
        <v>463.33333333333337</v>
      </c>
      <c r="I58" s="417">
        <f>+'3. Input_Historie'!I27</f>
        <v>626.66666666666674</v>
      </c>
      <c r="J58" s="418">
        <f>+'3. Input_Historie'!J27</f>
        <v>646.66666666666674</v>
      </c>
      <c r="K58" s="694">
        <f>+J58*1.05</f>
        <v>679.00000000000011</v>
      </c>
      <c r="L58" s="695">
        <f t="shared" ref="L58:O58" si="0">+K58*1.05</f>
        <v>712.95000000000016</v>
      </c>
      <c r="M58" s="695">
        <f t="shared" si="0"/>
        <v>748.5975000000002</v>
      </c>
      <c r="N58" s="695">
        <f t="shared" si="0"/>
        <v>786.02737500000023</v>
      </c>
      <c r="O58" s="695">
        <f t="shared" si="0"/>
        <v>825.32874375000029</v>
      </c>
      <c r="P58" s="444">
        <f ca="1">+OFFSET(J58,,'2. Input_Allgemein'!$E$36)*(1+$V$50)</f>
        <v>837.70867490625017</v>
      </c>
      <c r="S58" s="61"/>
      <c r="T58" s="77"/>
    </row>
    <row r="59" spans="1:23" hidden="1" outlineLevel="1" x14ac:dyDescent="0.25">
      <c r="C59" s="419" t="s">
        <v>48</v>
      </c>
      <c r="D59" s="420" t="s">
        <v>41</v>
      </c>
      <c r="F59" s="374"/>
      <c r="G59" s="421" t="str">
        <f t="shared" ref="G59:O59" si="1">IFERROR(+G58/F58-1,"n/a")</f>
        <v>n/a</v>
      </c>
      <c r="H59" s="421">
        <f t="shared" si="1"/>
        <v>0</v>
      </c>
      <c r="I59" s="421">
        <f t="shared" si="1"/>
        <v>0.35251798561151082</v>
      </c>
      <c r="J59" s="422">
        <f t="shared" si="1"/>
        <v>3.1914893617021267E-2</v>
      </c>
      <c r="K59" s="696">
        <f t="shared" si="1"/>
        <v>5.0000000000000044E-2</v>
      </c>
      <c r="L59" s="697">
        <f t="shared" si="1"/>
        <v>5.0000000000000044E-2</v>
      </c>
      <c r="M59" s="697">
        <f t="shared" si="1"/>
        <v>5.0000000000000044E-2</v>
      </c>
      <c r="N59" s="697">
        <f t="shared" si="1"/>
        <v>5.0000000000000044E-2</v>
      </c>
      <c r="O59" s="697">
        <f t="shared" si="1"/>
        <v>5.0000000000000044E-2</v>
      </c>
      <c r="P59" s="445">
        <f ca="1">IFERROR(+P58/O58-1,"n/a")</f>
        <v>1.4999999999999902E-2</v>
      </c>
      <c r="S59" s="77"/>
      <c r="T59" s="77"/>
    </row>
    <row r="60" spans="1:23" collapsed="1" x14ac:dyDescent="0.25">
      <c r="C60" s="374" t="s">
        <v>40</v>
      </c>
      <c r="D60" s="388" t="s">
        <v>37</v>
      </c>
      <c r="F60" s="374"/>
      <c r="G60" s="423">
        <f>+'3. Input_Historie'!G29</f>
        <v>-46.333333333333343</v>
      </c>
      <c r="H60" s="423">
        <f>+'3. Input_Historie'!H29</f>
        <v>-46.333333333333343</v>
      </c>
      <c r="I60" s="423">
        <f>+'3. Input_Historie'!I29</f>
        <v>-62.666666666666679</v>
      </c>
      <c r="J60" s="424">
        <f>+'3. Input_Historie'!J29</f>
        <v>-64.666666666666671</v>
      </c>
      <c r="K60" s="698">
        <f>+J60*1.01</f>
        <v>-65.313333333333333</v>
      </c>
      <c r="L60" s="699">
        <f>+K60*1.01</f>
        <v>-65.966466666666662</v>
      </c>
      <c r="M60" s="699">
        <f>+L60*1.01</f>
        <v>-66.626131333333333</v>
      </c>
      <c r="N60" s="699">
        <f>+M60*1.01</f>
        <v>-67.29239264666667</v>
      </c>
      <c r="O60" s="700">
        <f>+N60*1.01</f>
        <v>-67.965316573133336</v>
      </c>
      <c r="P60" s="446">
        <f ca="1">+OFFSET(J60,,'2. Input_Allgemein'!$E$36)*(1+$V$50)</f>
        <v>-68.984796321730329</v>
      </c>
      <c r="S60" s="61"/>
      <c r="T60" s="77"/>
    </row>
    <row r="61" spans="1:23" x14ac:dyDescent="0.25">
      <c r="C61" s="425" t="s">
        <v>42</v>
      </c>
      <c r="D61" s="426" t="s">
        <v>37</v>
      </c>
      <c r="E61" s="427"/>
      <c r="F61" s="416"/>
      <c r="G61" s="428">
        <f t="shared" ref="G61:O61" si="2">+G58+G60</f>
        <v>417</v>
      </c>
      <c r="H61" s="428">
        <f t="shared" si="2"/>
        <v>417</v>
      </c>
      <c r="I61" s="428">
        <f t="shared" si="2"/>
        <v>564.00000000000011</v>
      </c>
      <c r="J61" s="429">
        <f t="shared" si="2"/>
        <v>582.00000000000011</v>
      </c>
      <c r="K61" s="441">
        <f t="shared" si="2"/>
        <v>613.68666666666672</v>
      </c>
      <c r="L61" s="441">
        <f t="shared" si="2"/>
        <v>646.98353333333353</v>
      </c>
      <c r="M61" s="441">
        <f t="shared" si="2"/>
        <v>681.97136866666688</v>
      </c>
      <c r="N61" s="441">
        <f t="shared" si="2"/>
        <v>718.73498235333352</v>
      </c>
      <c r="O61" s="442">
        <f t="shared" si="2"/>
        <v>757.36342717686694</v>
      </c>
      <c r="P61" s="443">
        <f ca="1">+P58+P60</f>
        <v>768.72387858451987</v>
      </c>
      <c r="Q61" s="374"/>
      <c r="S61" s="77"/>
      <c r="T61" s="77"/>
    </row>
    <row r="62" spans="1:23" hidden="1" outlineLevel="1" x14ac:dyDescent="0.25">
      <c r="C62" s="419" t="s">
        <v>43</v>
      </c>
      <c r="D62" s="420" t="s">
        <v>41</v>
      </c>
      <c r="F62" s="374"/>
      <c r="G62" s="430">
        <f t="shared" ref="G62:O62" si="3">+G61/G58</f>
        <v>0.89999999999999991</v>
      </c>
      <c r="H62" s="430">
        <f t="shared" si="3"/>
        <v>0.89999999999999991</v>
      </c>
      <c r="I62" s="430">
        <f t="shared" si="3"/>
        <v>0.9</v>
      </c>
      <c r="J62" s="431">
        <f t="shared" si="3"/>
        <v>0.9</v>
      </c>
      <c r="K62" s="701">
        <f t="shared" si="3"/>
        <v>0.90380952380952373</v>
      </c>
      <c r="L62" s="702">
        <f t="shared" si="3"/>
        <v>0.9074739229024944</v>
      </c>
      <c r="M62" s="702">
        <f t="shared" si="3"/>
        <v>0.91099872583954222</v>
      </c>
      <c r="N62" s="702">
        <f t="shared" si="3"/>
        <v>0.9143892505694643</v>
      </c>
      <c r="O62" s="703">
        <f t="shared" si="3"/>
        <v>0.91765061245253243</v>
      </c>
      <c r="P62" s="447">
        <f ca="1">+P61/P58</f>
        <v>0.91765061245253243</v>
      </c>
      <c r="S62" s="77"/>
      <c r="T62" s="77"/>
    </row>
    <row r="63" spans="1:23" hidden="1" outlineLevel="1" x14ac:dyDescent="0.25">
      <c r="C63" s="419" t="s">
        <v>48</v>
      </c>
      <c r="D63" s="420" t="s">
        <v>41</v>
      </c>
      <c r="F63" s="374"/>
      <c r="G63" s="430" t="str">
        <f t="shared" ref="G63:O63" si="4">IFERROR(+G61/F61-1,"n/a")</f>
        <v>n/a</v>
      </c>
      <c r="H63" s="430">
        <f t="shared" si="4"/>
        <v>0</v>
      </c>
      <c r="I63" s="430">
        <f t="shared" si="4"/>
        <v>0.35251798561151104</v>
      </c>
      <c r="J63" s="431">
        <f t="shared" si="4"/>
        <v>3.1914893617021267E-2</v>
      </c>
      <c r="K63" s="696">
        <f t="shared" si="4"/>
        <v>5.4444444444444295E-2</v>
      </c>
      <c r="L63" s="697">
        <f t="shared" si="4"/>
        <v>5.425711275026357E-2</v>
      </c>
      <c r="M63" s="697">
        <f t="shared" si="4"/>
        <v>5.40784015832243E-2</v>
      </c>
      <c r="N63" s="697">
        <f t="shared" si="4"/>
        <v>5.3907855044624142E-2</v>
      </c>
      <c r="O63" s="704">
        <f t="shared" si="4"/>
        <v>5.3745046188030887E-2</v>
      </c>
      <c r="P63" s="448">
        <f ca="1">IFERROR(+P61/O61-1,"n/a")</f>
        <v>1.4999999999999902E-2</v>
      </c>
      <c r="S63" s="77"/>
      <c r="T63" s="77"/>
    </row>
    <row r="64" spans="1:23" ht="5.0999999999999996" customHeight="1" collapsed="1" x14ac:dyDescent="0.25">
      <c r="C64" s="374"/>
      <c r="D64" s="374"/>
      <c r="F64" s="374"/>
      <c r="G64" s="374"/>
      <c r="H64" s="374"/>
      <c r="I64" s="374"/>
      <c r="J64" s="432"/>
      <c r="O64" s="432"/>
      <c r="P64" s="374"/>
      <c r="S64" s="61"/>
    </row>
    <row r="65" spans="3:20" x14ac:dyDescent="0.25">
      <c r="C65" s="374" t="s">
        <v>44</v>
      </c>
      <c r="D65" s="388" t="s">
        <v>37</v>
      </c>
      <c r="F65" s="374"/>
      <c r="G65" s="433">
        <f>+'3. Input_Historie'!G34</f>
        <v>-231.66666666666669</v>
      </c>
      <c r="H65" s="433">
        <f>+'3. Input_Historie'!H34</f>
        <v>-231.66666666666669</v>
      </c>
      <c r="I65" s="433">
        <f>+'3. Input_Historie'!I34</f>
        <v>-313.33333333333337</v>
      </c>
      <c r="J65" s="434">
        <f>+'3. Input_Historie'!J34</f>
        <v>-323.33333333333337</v>
      </c>
      <c r="K65" s="705">
        <f>+J65*1.02</f>
        <v>-329.80000000000007</v>
      </c>
      <c r="L65" s="706">
        <f t="shared" ref="L65:O65" si="5">+K65*1.02</f>
        <v>-336.39600000000007</v>
      </c>
      <c r="M65" s="706">
        <f t="shared" si="5"/>
        <v>-343.12392000000006</v>
      </c>
      <c r="N65" s="706">
        <f t="shared" si="5"/>
        <v>-349.98639840000004</v>
      </c>
      <c r="O65" s="707">
        <f t="shared" si="5"/>
        <v>-356.98612636800004</v>
      </c>
      <c r="P65" s="449">
        <f ca="1">+OFFSET(J65,,'2. Input_Allgemein'!$E$36)*(1+$V$50)</f>
        <v>-362.34091826352</v>
      </c>
      <c r="S65" s="61"/>
      <c r="T65" s="77"/>
    </row>
    <row r="66" spans="3:20" x14ac:dyDescent="0.25">
      <c r="C66" s="374" t="s">
        <v>47</v>
      </c>
      <c r="D66" s="388" t="s">
        <v>37</v>
      </c>
      <c r="F66" s="374"/>
      <c r="G66" s="435">
        <f>+'3. Input_Historie'!G35</f>
        <v>-9.2666666666666675</v>
      </c>
      <c r="H66" s="435">
        <f>+'3. Input_Historie'!H35</f>
        <v>-9.2666666666666675</v>
      </c>
      <c r="I66" s="435">
        <f>+'3. Input_Historie'!I35</f>
        <v>-12.533333333333335</v>
      </c>
      <c r="J66" s="436">
        <f>+'3. Input_Historie'!J35</f>
        <v>-12.933333333333335</v>
      </c>
      <c r="K66" s="705">
        <f t="shared" ref="K66:O66" si="6">+J66*1.02</f>
        <v>-13.192000000000002</v>
      </c>
      <c r="L66" s="706">
        <f t="shared" si="6"/>
        <v>-13.455840000000002</v>
      </c>
      <c r="M66" s="706">
        <f t="shared" si="6"/>
        <v>-13.724956800000003</v>
      </c>
      <c r="N66" s="706">
        <f t="shared" si="6"/>
        <v>-13.999455936000004</v>
      </c>
      <c r="O66" s="707">
        <f t="shared" si="6"/>
        <v>-14.279445054720004</v>
      </c>
      <c r="P66" s="449">
        <f ca="1">+OFFSET(J66,,'2. Input_Allgemein'!$E$36)*(1+$V$50)</f>
        <v>-14.493636730540802</v>
      </c>
      <c r="S66" s="61"/>
      <c r="T66" s="77"/>
    </row>
    <row r="67" spans="3:20" x14ac:dyDescent="0.25">
      <c r="C67" s="374" t="s">
        <v>45</v>
      </c>
      <c r="D67" s="388" t="s">
        <v>37</v>
      </c>
      <c r="F67" s="374"/>
      <c r="G67" s="435">
        <f>+'3. Input_Historie'!G36</f>
        <v>2.3166666666666669</v>
      </c>
      <c r="H67" s="435">
        <f>+'3. Input_Historie'!H36</f>
        <v>2.3166666666666669</v>
      </c>
      <c r="I67" s="435">
        <f>+'3. Input_Historie'!I36</f>
        <v>3.1333333333333337</v>
      </c>
      <c r="J67" s="436">
        <f>+'3. Input_Historie'!J36</f>
        <v>3.2333333333333338</v>
      </c>
      <c r="K67" s="705">
        <f t="shared" ref="K67:O67" si="7">+J67*1.02</f>
        <v>3.2980000000000005</v>
      </c>
      <c r="L67" s="706">
        <f t="shared" si="7"/>
        <v>3.3639600000000005</v>
      </c>
      <c r="M67" s="706">
        <f t="shared" si="7"/>
        <v>3.4312392000000007</v>
      </c>
      <c r="N67" s="706">
        <f t="shared" si="7"/>
        <v>3.499863984000001</v>
      </c>
      <c r="O67" s="707">
        <f t="shared" si="7"/>
        <v>3.5698612636800009</v>
      </c>
      <c r="P67" s="449">
        <f ca="1">+OFFSET(J67,,'2. Input_Allgemein'!$E$36)*(1+$V$50)</f>
        <v>3.6234091826352004</v>
      </c>
      <c r="S67" s="61"/>
      <c r="T67" s="77"/>
    </row>
    <row r="68" spans="3:20" x14ac:dyDescent="0.25">
      <c r="C68" s="374" t="s">
        <v>46</v>
      </c>
      <c r="D68" s="388" t="s">
        <v>37</v>
      </c>
      <c r="F68" s="374"/>
      <c r="G68" s="423">
        <f>+'3. Input_Historie'!G37</f>
        <v>-9.2666666666666675</v>
      </c>
      <c r="H68" s="423">
        <f>+'3. Input_Historie'!H37</f>
        <v>-9.2666666666666675</v>
      </c>
      <c r="I68" s="423">
        <f>+'3. Input_Historie'!I37</f>
        <v>-12.533333333333335</v>
      </c>
      <c r="J68" s="424">
        <f>+'3. Input_Historie'!J37</f>
        <v>-12.933333333333335</v>
      </c>
      <c r="K68" s="698">
        <f t="shared" ref="K68:O68" si="8">+J68*1.02</f>
        <v>-13.192000000000002</v>
      </c>
      <c r="L68" s="699">
        <f t="shared" si="8"/>
        <v>-13.455840000000002</v>
      </c>
      <c r="M68" s="699">
        <f t="shared" si="8"/>
        <v>-13.724956800000003</v>
      </c>
      <c r="N68" s="699">
        <f t="shared" si="8"/>
        <v>-13.999455936000004</v>
      </c>
      <c r="O68" s="700">
        <f t="shared" si="8"/>
        <v>-14.279445054720004</v>
      </c>
      <c r="P68" s="446">
        <f ca="1">+OFFSET(J68,,'2. Input_Allgemein'!$E$36)*(1+$V$50)</f>
        <v>-14.493636730540802</v>
      </c>
      <c r="S68" s="61"/>
      <c r="T68" s="77"/>
    </row>
    <row r="69" spans="3:20" x14ac:dyDescent="0.25">
      <c r="C69" s="425" t="s">
        <v>485</v>
      </c>
      <c r="D69" s="426" t="s">
        <v>37</v>
      </c>
      <c r="E69" s="427"/>
      <c r="F69" s="416"/>
      <c r="G69" s="428">
        <f t="shared" ref="G69:O69" si="9">+G61+SUM(G65:G68)</f>
        <v>169.11666666666662</v>
      </c>
      <c r="H69" s="428">
        <f t="shared" si="9"/>
        <v>169.11666666666662</v>
      </c>
      <c r="I69" s="428">
        <f t="shared" si="9"/>
        <v>228.73333333333335</v>
      </c>
      <c r="J69" s="429">
        <f t="shared" si="9"/>
        <v>236.03333333333342</v>
      </c>
      <c r="K69" s="441">
        <f t="shared" si="9"/>
        <v>260.80066666666664</v>
      </c>
      <c r="L69" s="441">
        <f t="shared" si="9"/>
        <v>287.03981333333343</v>
      </c>
      <c r="M69" s="441">
        <f t="shared" si="9"/>
        <v>314.82877426666676</v>
      </c>
      <c r="N69" s="441">
        <f t="shared" si="9"/>
        <v>344.24953606533347</v>
      </c>
      <c r="O69" s="441">
        <f t="shared" si="9"/>
        <v>375.38827196310694</v>
      </c>
      <c r="P69" s="450">
        <f ca="1">+P61+SUM(P65:P68)</f>
        <v>381.01909604255349</v>
      </c>
      <c r="S69" s="61"/>
      <c r="T69" s="77"/>
    </row>
    <row r="70" spans="3:20" hidden="1" outlineLevel="1" x14ac:dyDescent="0.25">
      <c r="C70" s="419" t="s">
        <v>48</v>
      </c>
      <c r="D70" s="420" t="s">
        <v>41</v>
      </c>
      <c r="F70" s="374"/>
      <c r="G70" s="430" t="str">
        <f t="shared" ref="G70:O70" si="10">IFERROR(+G69/F69-1,"n/a")</f>
        <v>n/a</v>
      </c>
      <c r="H70" s="430">
        <f t="shared" si="10"/>
        <v>0</v>
      </c>
      <c r="I70" s="430">
        <f t="shared" si="10"/>
        <v>0.35251798561151126</v>
      </c>
      <c r="J70" s="431">
        <f t="shared" si="10"/>
        <v>3.1914893617021489E-2</v>
      </c>
      <c r="K70" s="430">
        <f t="shared" si="10"/>
        <v>0.10493150684931463</v>
      </c>
      <c r="L70" s="430">
        <f t="shared" si="10"/>
        <v>0.10060996776593156</v>
      </c>
      <c r="M70" s="430">
        <f t="shared" si="10"/>
        <v>9.6812217826600211E-2</v>
      </c>
      <c r="N70" s="430">
        <f t="shared" si="10"/>
        <v>9.3450040795021838E-2</v>
      </c>
      <c r="O70" s="430">
        <f t="shared" si="10"/>
        <v>9.0453966194637969E-2</v>
      </c>
      <c r="P70" s="451">
        <f ca="1">IFERROR(+P69/O69-1,"n/a")</f>
        <v>1.4999999999999902E-2</v>
      </c>
      <c r="S70" s="77"/>
      <c r="T70" s="77"/>
    </row>
    <row r="71" spans="3:20" ht="5.0999999999999996" customHeight="1" collapsed="1" x14ac:dyDescent="0.25">
      <c r="C71" s="374"/>
      <c r="D71" s="374"/>
      <c r="F71" s="374"/>
      <c r="G71" s="374"/>
      <c r="H71" s="374"/>
      <c r="I71" s="374"/>
      <c r="J71" s="432"/>
      <c r="P71" s="452"/>
      <c r="S71" s="61"/>
    </row>
    <row r="72" spans="3:20" x14ac:dyDescent="0.25">
      <c r="C72" s="374" t="s">
        <v>49</v>
      </c>
      <c r="D72" s="388" t="s">
        <v>37</v>
      </c>
      <c r="F72" s="374"/>
      <c r="G72" s="423">
        <f>+'3. Input_Historie'!G41</f>
        <v>-30</v>
      </c>
      <c r="H72" s="423">
        <f>+'3. Input_Historie'!H41</f>
        <v>-30</v>
      </c>
      <c r="I72" s="423">
        <f>+'3. Input_Historie'!I41</f>
        <v>-30</v>
      </c>
      <c r="J72" s="424">
        <f>+'3. Input_Historie'!J41</f>
        <v>-30</v>
      </c>
      <c r="K72" s="457">
        <f t="shared" ref="K72:P72" ca="1" si="11">+K230</f>
        <v>-73.685714285714283</v>
      </c>
      <c r="L72" s="458">
        <f t="shared" ca="1" si="11"/>
        <v>-94.055714285714288</v>
      </c>
      <c r="M72" s="458">
        <f t="shared" ca="1" si="11"/>
        <v>-115.4442142857143</v>
      </c>
      <c r="N72" s="458">
        <f t="shared" ca="1" si="11"/>
        <v>-137.9021392857143</v>
      </c>
      <c r="O72" s="459">
        <f t="shared" ca="1" si="11"/>
        <v>-161.48296053571431</v>
      </c>
      <c r="P72" s="453">
        <f t="shared" ca="1" si="11"/>
        <v>-161.48296053571431</v>
      </c>
      <c r="S72" s="61"/>
      <c r="T72" s="77"/>
    </row>
    <row r="73" spans="3:20" x14ac:dyDescent="0.25">
      <c r="C73" s="425" t="s">
        <v>484</v>
      </c>
      <c r="D73" s="426" t="s">
        <v>37</v>
      </c>
      <c r="E73" s="427"/>
      <c r="F73" s="416"/>
      <c r="G73" s="428">
        <f t="shared" ref="G73:J73" si="12">+G69+G72</f>
        <v>139.11666666666662</v>
      </c>
      <c r="H73" s="428">
        <f t="shared" si="12"/>
        <v>139.11666666666662</v>
      </c>
      <c r="I73" s="428">
        <f t="shared" si="12"/>
        <v>198.73333333333335</v>
      </c>
      <c r="J73" s="429">
        <f t="shared" si="12"/>
        <v>206.03333333333342</v>
      </c>
      <c r="K73" s="441">
        <f t="shared" ref="K73:P73" ca="1" si="13">+K69+K72</f>
        <v>187.11495238095236</v>
      </c>
      <c r="L73" s="441">
        <f t="shared" ca="1" si="13"/>
        <v>192.98409904761914</v>
      </c>
      <c r="M73" s="441">
        <f t="shared" ca="1" si="13"/>
        <v>199.38455998095247</v>
      </c>
      <c r="N73" s="441">
        <f t="shared" ca="1" si="13"/>
        <v>206.34739677961917</v>
      </c>
      <c r="O73" s="441">
        <f t="shared" ca="1" si="13"/>
        <v>213.90531142739263</v>
      </c>
      <c r="P73" s="450">
        <f t="shared" ca="1" si="13"/>
        <v>219.53613550683917</v>
      </c>
      <c r="R73" s="234"/>
      <c r="S73" s="80"/>
      <c r="T73" s="77"/>
    </row>
    <row r="74" spans="3:20" hidden="1" outlineLevel="1" x14ac:dyDescent="0.25">
      <c r="C74" s="419" t="s">
        <v>48</v>
      </c>
      <c r="D74" s="420" t="s">
        <v>41</v>
      </c>
      <c r="F74" s="374"/>
      <c r="G74" s="430" t="str">
        <f t="shared" ref="G74:J74" si="14">IFERROR(+G73/F73-1,"n/a")</f>
        <v>n/a</v>
      </c>
      <c r="H74" s="430">
        <f t="shared" si="14"/>
        <v>0</v>
      </c>
      <c r="I74" s="430">
        <f t="shared" si="14"/>
        <v>0.42853719899365106</v>
      </c>
      <c r="J74" s="431">
        <f t="shared" si="14"/>
        <v>3.6732640053673604E-2</v>
      </c>
      <c r="K74" s="430">
        <f t="shared" ref="K74:P74" ca="1" si="15">IFERROR(+K73/J73-1,"n/a")</f>
        <v>-9.1821942820163649E-2</v>
      </c>
      <c r="L74" s="430">
        <f t="shared" ca="1" si="15"/>
        <v>3.1366529462154569E-2</v>
      </c>
      <c r="M74" s="430">
        <f t="shared" ca="1" si="15"/>
        <v>3.3165742488214134E-2</v>
      </c>
      <c r="N74" s="430">
        <f t="shared" ca="1" si="15"/>
        <v>3.4921644882291103E-2</v>
      </c>
      <c r="O74" s="430">
        <f t="shared" ca="1" si="15"/>
        <v>3.6627138339163867E-2</v>
      </c>
      <c r="P74" s="451">
        <f t="shared" ca="1" si="15"/>
        <v>2.6323909592856687E-2</v>
      </c>
      <c r="S74" s="77"/>
      <c r="T74" s="77"/>
    </row>
    <row r="75" spans="3:20" ht="5.0999999999999996" customHeight="1" collapsed="1" x14ac:dyDescent="0.25">
      <c r="C75" s="374"/>
      <c r="D75" s="374"/>
      <c r="F75" s="374"/>
      <c r="G75" s="374"/>
      <c r="H75" s="374"/>
      <c r="I75" s="374"/>
      <c r="J75" s="432"/>
      <c r="P75" s="452"/>
    </row>
    <row r="76" spans="3:20" x14ac:dyDescent="0.25">
      <c r="C76" s="374" t="s">
        <v>56</v>
      </c>
      <c r="D76" s="388" t="s">
        <v>37</v>
      </c>
      <c r="F76" s="374"/>
      <c r="G76" s="433">
        <f>+'3. Input_Historie'!G45</f>
        <v>0</v>
      </c>
      <c r="H76" s="433">
        <f>+'3. Input_Historie'!H45</f>
        <v>0</v>
      </c>
      <c r="I76" s="433">
        <f>+'3. Input_Historie'!I45</f>
        <v>0</v>
      </c>
      <c r="J76" s="434">
        <f>+'3. Input_Historie'!J45</f>
        <v>0</v>
      </c>
      <c r="K76" s="705">
        <f t="shared" ref="K76:O76" si="16">+J76*1.02</f>
        <v>0</v>
      </c>
      <c r="L76" s="706">
        <f t="shared" si="16"/>
        <v>0</v>
      </c>
      <c r="M76" s="706">
        <f t="shared" si="16"/>
        <v>0</v>
      </c>
      <c r="N76" s="706">
        <f t="shared" si="16"/>
        <v>0</v>
      </c>
      <c r="O76" s="707">
        <f t="shared" si="16"/>
        <v>0</v>
      </c>
      <c r="P76" s="454"/>
      <c r="S76" s="77"/>
      <c r="T76" s="77"/>
    </row>
    <row r="77" spans="3:20" x14ac:dyDescent="0.25">
      <c r="C77" s="374" t="s">
        <v>57</v>
      </c>
      <c r="D77" s="388" t="s">
        <v>37</v>
      </c>
      <c r="F77" s="374"/>
      <c r="G77" s="435">
        <f>+'3. Input_Historie'!G46</f>
        <v>0</v>
      </c>
      <c r="H77" s="435">
        <f>+'3. Input_Historie'!H46</f>
        <v>0</v>
      </c>
      <c r="I77" s="435">
        <f>+'3. Input_Historie'!I46</f>
        <v>0</v>
      </c>
      <c r="J77" s="436">
        <f>+'3. Input_Historie'!J46</f>
        <v>0</v>
      </c>
      <c r="K77" s="705">
        <f t="shared" ref="K77:O77" si="17">+J77*1.02</f>
        <v>0</v>
      </c>
      <c r="L77" s="706">
        <f t="shared" si="17"/>
        <v>0</v>
      </c>
      <c r="M77" s="706">
        <f t="shared" si="17"/>
        <v>0</v>
      </c>
      <c r="N77" s="706">
        <f t="shared" si="17"/>
        <v>0</v>
      </c>
      <c r="O77" s="706">
        <f t="shared" si="17"/>
        <v>0</v>
      </c>
      <c r="P77" s="454"/>
      <c r="S77" s="77"/>
      <c r="T77" s="77"/>
    </row>
    <row r="78" spans="3:20" x14ac:dyDescent="0.25">
      <c r="C78" s="374" t="s">
        <v>58</v>
      </c>
      <c r="D78" s="388" t="s">
        <v>37</v>
      </c>
      <c r="F78" s="374"/>
      <c r="G78" s="435">
        <f>+'3. Input_Historie'!G47</f>
        <v>0</v>
      </c>
      <c r="H78" s="435">
        <f>+'3. Input_Historie'!H47</f>
        <v>0</v>
      </c>
      <c r="I78" s="435">
        <f>+'3. Input_Historie'!I47</f>
        <v>0</v>
      </c>
      <c r="J78" s="436">
        <f>+'3. Input_Historie'!J47</f>
        <v>0</v>
      </c>
      <c r="K78" s="705">
        <f t="shared" ref="K78:O78" si="18">+J78*1.02</f>
        <v>0</v>
      </c>
      <c r="L78" s="706">
        <f t="shared" si="18"/>
        <v>0</v>
      </c>
      <c r="M78" s="706">
        <f t="shared" si="18"/>
        <v>0</v>
      </c>
      <c r="N78" s="706">
        <f t="shared" si="18"/>
        <v>0</v>
      </c>
      <c r="O78" s="706">
        <f t="shared" si="18"/>
        <v>0</v>
      </c>
      <c r="P78" s="454"/>
      <c r="S78" s="77"/>
      <c r="T78" s="77"/>
    </row>
    <row r="79" spans="3:20" x14ac:dyDescent="0.25">
      <c r="C79" s="374" t="s">
        <v>59</v>
      </c>
      <c r="D79" s="388" t="s">
        <v>37</v>
      </c>
      <c r="F79" s="374"/>
      <c r="G79" s="435">
        <f>+'3. Input_Historie'!G48</f>
        <v>0</v>
      </c>
      <c r="H79" s="435">
        <f>+'3. Input_Historie'!H48</f>
        <v>0</v>
      </c>
      <c r="I79" s="435">
        <f>+'3. Input_Historie'!I48</f>
        <v>0</v>
      </c>
      <c r="J79" s="436">
        <f>+'3. Input_Historie'!J48</f>
        <v>0</v>
      </c>
      <c r="K79" s="705">
        <f t="shared" ref="K79:O79" si="19">+J79*1.02</f>
        <v>0</v>
      </c>
      <c r="L79" s="706">
        <f t="shared" si="19"/>
        <v>0</v>
      </c>
      <c r="M79" s="706">
        <f t="shared" si="19"/>
        <v>0</v>
      </c>
      <c r="N79" s="706">
        <f t="shared" si="19"/>
        <v>0</v>
      </c>
      <c r="O79" s="706">
        <f t="shared" si="19"/>
        <v>0</v>
      </c>
      <c r="P79" s="454"/>
      <c r="S79" s="77"/>
      <c r="T79" s="77"/>
    </row>
    <row r="80" spans="3:20" x14ac:dyDescent="0.25">
      <c r="C80" s="374" t="s">
        <v>60</v>
      </c>
      <c r="D80" s="388" t="s">
        <v>37</v>
      </c>
      <c r="F80" s="374"/>
      <c r="G80" s="435">
        <f>+'3. Input_Historie'!G49</f>
        <v>0</v>
      </c>
      <c r="H80" s="435">
        <f>+'3. Input_Historie'!H49</f>
        <v>0</v>
      </c>
      <c r="I80" s="435">
        <f>+'3. Input_Historie'!I49</f>
        <v>0</v>
      </c>
      <c r="J80" s="436">
        <f>+'3. Input_Historie'!J49</f>
        <v>0</v>
      </c>
      <c r="K80" s="705">
        <f t="shared" ref="K80:O80" si="20">+J80*1.02</f>
        <v>0</v>
      </c>
      <c r="L80" s="706">
        <f t="shared" si="20"/>
        <v>0</v>
      </c>
      <c r="M80" s="706">
        <f t="shared" si="20"/>
        <v>0</v>
      </c>
      <c r="N80" s="706">
        <f t="shared" si="20"/>
        <v>0</v>
      </c>
      <c r="O80" s="706">
        <f t="shared" si="20"/>
        <v>0</v>
      </c>
      <c r="P80" s="454"/>
      <c r="S80" s="77"/>
      <c r="T80" s="77"/>
    </row>
    <row r="81" spans="1:20" x14ac:dyDescent="0.25">
      <c r="C81" s="374" t="s">
        <v>61</v>
      </c>
      <c r="D81" s="388" t="s">
        <v>37</v>
      </c>
      <c r="F81" s="374"/>
      <c r="G81" s="435">
        <f>+'3. Input_Historie'!G50</f>
        <v>0</v>
      </c>
      <c r="H81" s="435">
        <f>+'3. Input_Historie'!H50</f>
        <v>0</v>
      </c>
      <c r="I81" s="435">
        <f>+'3. Input_Historie'!I50</f>
        <v>0</v>
      </c>
      <c r="J81" s="436">
        <f>+'3. Input_Historie'!J50</f>
        <v>0</v>
      </c>
      <c r="K81" s="705">
        <f t="shared" ref="K81:O81" si="21">+J81*1.02</f>
        <v>0</v>
      </c>
      <c r="L81" s="706">
        <f t="shared" si="21"/>
        <v>0</v>
      </c>
      <c r="M81" s="706">
        <f t="shared" si="21"/>
        <v>0</v>
      </c>
      <c r="N81" s="706">
        <f t="shared" si="21"/>
        <v>0</v>
      </c>
      <c r="O81" s="706">
        <f t="shared" si="21"/>
        <v>0</v>
      </c>
      <c r="P81" s="454"/>
      <c r="S81" s="77"/>
      <c r="T81" s="77"/>
    </row>
    <row r="82" spans="1:20" x14ac:dyDescent="0.25">
      <c r="C82" s="374" t="s">
        <v>84</v>
      </c>
      <c r="D82" s="388" t="s">
        <v>37</v>
      </c>
      <c r="F82" s="374"/>
      <c r="G82" s="435">
        <f>+'3. Input_Historie'!G51</f>
        <v>0</v>
      </c>
      <c r="H82" s="435">
        <f>+'3. Input_Historie'!H51</f>
        <v>0</v>
      </c>
      <c r="I82" s="435">
        <f>+'3. Input_Historie'!I51</f>
        <v>0</v>
      </c>
      <c r="J82" s="436">
        <f>+'3. Input_Historie'!J51</f>
        <v>0</v>
      </c>
      <c r="K82" s="705">
        <f t="shared" ref="K82:O82" si="22">+J82*1.02</f>
        <v>0</v>
      </c>
      <c r="L82" s="706">
        <f t="shared" si="22"/>
        <v>0</v>
      </c>
      <c r="M82" s="706">
        <f t="shared" si="22"/>
        <v>0</v>
      </c>
      <c r="N82" s="706">
        <f t="shared" si="22"/>
        <v>0</v>
      </c>
      <c r="O82" s="706">
        <f t="shared" si="22"/>
        <v>0</v>
      </c>
      <c r="P82" s="454"/>
      <c r="S82" s="77"/>
      <c r="T82" s="77"/>
    </row>
    <row r="83" spans="1:20" x14ac:dyDescent="0.25">
      <c r="C83" s="374" t="s">
        <v>62</v>
      </c>
      <c r="D83" s="388" t="s">
        <v>37</v>
      </c>
      <c r="F83" s="374"/>
      <c r="G83" s="437">
        <f>+'3. Input_Historie'!G52</f>
        <v>0</v>
      </c>
      <c r="H83" s="437">
        <f>+'3. Input_Historie'!H52</f>
        <v>0</v>
      </c>
      <c r="I83" s="437">
        <f>+'3. Input_Historie'!I52</f>
        <v>0</v>
      </c>
      <c r="J83" s="438">
        <f>+'3. Input_Historie'!J52</f>
        <v>0</v>
      </c>
      <c r="K83" s="698">
        <f t="shared" ref="K83:O83" si="23">+J83*1.02</f>
        <v>0</v>
      </c>
      <c r="L83" s="699">
        <f t="shared" si="23"/>
        <v>0</v>
      </c>
      <c r="M83" s="699">
        <f t="shared" si="23"/>
        <v>0</v>
      </c>
      <c r="N83" s="699">
        <f t="shared" si="23"/>
        <v>0</v>
      </c>
      <c r="O83" s="699">
        <f t="shared" si="23"/>
        <v>0</v>
      </c>
      <c r="P83" s="455"/>
      <c r="S83" s="77"/>
      <c r="T83" s="77"/>
    </row>
    <row r="84" spans="1:20" x14ac:dyDescent="0.25">
      <c r="C84" s="425" t="s">
        <v>500</v>
      </c>
      <c r="D84" s="426" t="s">
        <v>37</v>
      </c>
      <c r="E84" s="427"/>
      <c r="F84" s="416"/>
      <c r="G84" s="428">
        <f t="shared" ref="G84:J84" si="24">+SUM(G73,G76:G83)</f>
        <v>139.11666666666662</v>
      </c>
      <c r="H84" s="428">
        <f t="shared" si="24"/>
        <v>139.11666666666662</v>
      </c>
      <c r="I84" s="428">
        <f t="shared" si="24"/>
        <v>198.73333333333335</v>
      </c>
      <c r="J84" s="429">
        <f t="shared" si="24"/>
        <v>206.03333333333342</v>
      </c>
      <c r="K84" s="441">
        <f t="shared" ref="K84:P84" ca="1" si="25">+SUM(K73,K76:K83)</f>
        <v>187.11495238095236</v>
      </c>
      <c r="L84" s="441">
        <f t="shared" ca="1" si="25"/>
        <v>192.98409904761914</v>
      </c>
      <c r="M84" s="441">
        <f t="shared" ca="1" si="25"/>
        <v>199.38455998095247</v>
      </c>
      <c r="N84" s="441">
        <f t="shared" ca="1" si="25"/>
        <v>206.34739677961917</v>
      </c>
      <c r="O84" s="441">
        <f t="shared" ca="1" si="25"/>
        <v>213.90531142739263</v>
      </c>
      <c r="P84" s="450">
        <f t="shared" ca="1" si="25"/>
        <v>219.53613550683917</v>
      </c>
      <c r="S84" s="61"/>
      <c r="T84" s="77"/>
    </row>
    <row r="85" spans="1:20" hidden="1" outlineLevel="1" x14ac:dyDescent="0.25">
      <c r="C85" s="419" t="s">
        <v>338</v>
      </c>
      <c r="D85" s="420" t="s">
        <v>41</v>
      </c>
      <c r="E85" s="419"/>
      <c r="F85" s="419"/>
      <c r="G85" s="430">
        <f t="shared" ref="G85:J85" si="26">IFERROR(+G84/G58,"n/a")</f>
        <v>0.30025179856115097</v>
      </c>
      <c r="H85" s="430">
        <f t="shared" si="26"/>
        <v>0.30025179856115097</v>
      </c>
      <c r="I85" s="430">
        <f t="shared" si="26"/>
        <v>0.31712765957446809</v>
      </c>
      <c r="J85" s="431">
        <f t="shared" si="26"/>
        <v>0.31860824742268051</v>
      </c>
      <c r="K85" s="430">
        <f t="shared" ref="K85:P85" ca="1" si="27">IFERROR(+K84/K58,"n/a")</f>
        <v>0.27557430394838339</v>
      </c>
      <c r="L85" s="430">
        <f t="shared" ca="1" si="27"/>
        <v>0.27068391759256483</v>
      </c>
      <c r="M85" s="430">
        <f t="shared" ca="1" si="27"/>
        <v>0.26634414352299124</v>
      </c>
      <c r="N85" s="430">
        <f t="shared" ca="1" si="27"/>
        <v>0.26251935154245626</v>
      </c>
      <c r="O85" s="430">
        <f t="shared" ca="1" si="27"/>
        <v>0.2591758896648661</v>
      </c>
      <c r="P85" s="451">
        <f t="shared" ca="1" si="27"/>
        <v>0.26206740133305645</v>
      </c>
    </row>
    <row r="86" spans="1:20" ht="5.0999999999999996" customHeight="1" collapsed="1" x14ac:dyDescent="0.25">
      <c r="C86" s="374"/>
      <c r="D86" s="374"/>
      <c r="F86" s="374"/>
      <c r="G86" s="374"/>
      <c r="H86" s="374"/>
      <c r="I86" s="374"/>
      <c r="J86" s="432"/>
      <c r="P86" s="452"/>
    </row>
    <row r="87" spans="1:20" x14ac:dyDescent="0.25">
      <c r="C87" s="374" t="s">
        <v>197</v>
      </c>
      <c r="D87" s="388" t="s">
        <v>37</v>
      </c>
      <c r="F87" s="374"/>
      <c r="G87" s="439">
        <f>+'3. Input_Historie'!G56</f>
        <v>0</v>
      </c>
      <c r="H87" s="439">
        <f>+'3. Input_Historie'!H56</f>
        <v>0</v>
      </c>
      <c r="I87" s="439">
        <f>+'3. Input_Historie'!I56</f>
        <v>0</v>
      </c>
      <c r="J87" s="440">
        <f>+'3. Input_Historie'!J56</f>
        <v>0</v>
      </c>
      <c r="K87" s="460">
        <f>+(MAX(J117,0)*0+J119*1)*$E$34</f>
        <v>0</v>
      </c>
      <c r="L87" s="461">
        <f ca="1">+(MAX(K117,0)*0+K119*1)*$E$34</f>
        <v>0</v>
      </c>
      <c r="M87" s="461">
        <f ca="1">+(MAX(L117,0)*0+L119*1)*$E$34</f>
        <v>0</v>
      </c>
      <c r="N87" s="461">
        <f ca="1">+(MAX(M117,0)*0+M119*1)*$E$34</f>
        <v>0</v>
      </c>
      <c r="O87" s="461">
        <f ca="1">+(MAX(N117,0)*0+N119*1)*$E$34</f>
        <v>0</v>
      </c>
      <c r="P87" s="456">
        <f ca="1">+(MAX(+OFFSET(J117,,'2. Input_Allgemein'!$E$36),0)*0++OFFSET(J119,,'2. Input_Allgemein'!$E$36))*$E$34</f>
        <v>0</v>
      </c>
      <c r="R87" s="61"/>
      <c r="S87" s="61"/>
      <c r="T87" s="77"/>
    </row>
    <row r="88" spans="1:20" x14ac:dyDescent="0.25">
      <c r="C88" s="374" t="s">
        <v>213</v>
      </c>
      <c r="D88" s="388" t="s">
        <v>37</v>
      </c>
      <c r="F88" s="374"/>
      <c r="G88" s="423">
        <f>+'3. Input_Historie'!G57</f>
        <v>-2.3166666666666669</v>
      </c>
      <c r="H88" s="423">
        <f>+'3. Input_Historie'!H57</f>
        <v>-2.3166666666666669</v>
      </c>
      <c r="I88" s="423">
        <f>+'3. Input_Historie'!I57</f>
        <v>-3.1333333333333337</v>
      </c>
      <c r="J88" s="424">
        <f>+'3. Input_Historie'!J57</f>
        <v>-3.2333333333333338</v>
      </c>
      <c r="K88" s="457">
        <f>-(J154+J143+J156)*$E$32</f>
        <v>-5</v>
      </c>
      <c r="L88" s="458">
        <f ca="1">-(K154+K143+K156)*$E$32</f>
        <v>-29.243214285714295</v>
      </c>
      <c r="M88" s="458">
        <f ca="1">-(L154+L143+L156)*$E$32</f>
        <v>-29.243214285714295</v>
      </c>
      <c r="N88" s="458">
        <f ca="1">-(M154+M143+M156)*$E$32</f>
        <v>-29.243214285714295</v>
      </c>
      <c r="O88" s="458">
        <f ca="1">-(N154+N143+N156)*$E$32</f>
        <v>-29.243214285714295</v>
      </c>
      <c r="P88" s="453">
        <f ca="1">-(+OFFSET(J154,,'2. Input_Allgemein'!$E$36)++OFFSET(J143,,'2. Input_Allgemein'!$E$36)++OFFSET(J156,,'2. Input_Allgemein'!$E$36))*$E$32</f>
        <v>-29.243214285714306</v>
      </c>
      <c r="Q88" s="61"/>
      <c r="S88" s="61"/>
      <c r="T88" s="77"/>
    </row>
    <row r="89" spans="1:20" x14ac:dyDescent="0.25">
      <c r="C89" s="425" t="s">
        <v>359</v>
      </c>
      <c r="D89" s="426" t="s">
        <v>37</v>
      </c>
      <c r="E89" s="427"/>
      <c r="F89" s="416"/>
      <c r="G89" s="428">
        <f>+G84+SUM(G87:G88)</f>
        <v>136.79999999999995</v>
      </c>
      <c r="H89" s="428">
        <f t="shared" ref="H89:J89" si="28">+H84+SUM(H87:H88)</f>
        <v>136.79999999999995</v>
      </c>
      <c r="I89" s="428">
        <f t="shared" si="28"/>
        <v>195.60000000000002</v>
      </c>
      <c r="J89" s="429">
        <f t="shared" si="28"/>
        <v>202.8000000000001</v>
      </c>
      <c r="K89" s="441">
        <f t="shared" ref="K89:P89" ca="1" si="29">+K84+SUM(K87:K88)</f>
        <v>182.11495238095236</v>
      </c>
      <c r="L89" s="441">
        <f t="shared" ca="1" si="29"/>
        <v>163.74088476190485</v>
      </c>
      <c r="M89" s="441">
        <f t="shared" ca="1" si="29"/>
        <v>170.14134569523819</v>
      </c>
      <c r="N89" s="441">
        <f t="shared" ca="1" si="29"/>
        <v>177.10418249390489</v>
      </c>
      <c r="O89" s="441">
        <f t="shared" ca="1" si="29"/>
        <v>184.66209714167834</v>
      </c>
      <c r="P89" s="450">
        <f t="shared" ca="1" si="29"/>
        <v>190.29292122112486</v>
      </c>
      <c r="S89" s="61"/>
      <c r="T89" s="77"/>
    </row>
    <row r="90" spans="1:20" hidden="1" outlineLevel="1" x14ac:dyDescent="0.25">
      <c r="C90" s="419" t="s">
        <v>48</v>
      </c>
      <c r="D90" s="420" t="s">
        <v>41</v>
      </c>
      <c r="F90" s="374"/>
      <c r="G90" s="430" t="str">
        <f>IFERROR(+G89/#REF!-1,"n/a")</f>
        <v>n/a</v>
      </c>
      <c r="H90" s="430">
        <f t="shared" ref="H90:J90" si="30">IFERROR(+H89/G89-1,"n/a")</f>
        <v>0</v>
      </c>
      <c r="I90" s="430">
        <f t="shared" si="30"/>
        <v>0.42982456140350944</v>
      </c>
      <c r="J90" s="431">
        <f t="shared" si="30"/>
        <v>3.6809815950920699E-2</v>
      </c>
      <c r="K90" s="430">
        <f ca="1">IFERROR(+K89/J89-1,"n/a")</f>
        <v>-0.101997276228046</v>
      </c>
      <c r="L90" s="430">
        <f ca="1">IFERROR(+L89/K89-1,"n/a")</f>
        <v>-0.1008926910109621</v>
      </c>
      <c r="M90" s="430">
        <f ca="1">IFERROR(+M89/L89-1,"n/a")</f>
        <v>3.9088960235192483E-2</v>
      </c>
      <c r="N90" s="430">
        <f ca="1">IFERROR(+N89/M89-1,"n/a")</f>
        <v>4.0923837590533196E-2</v>
      </c>
      <c r="O90" s="430">
        <f ca="1">IFERROR(+O89/N89-1,"n/a")</f>
        <v>4.2674964200992704E-2</v>
      </c>
      <c r="P90" s="451" t="str">
        <f ca="1">IFERROR(+P89/#REF!-1,"n/a")</f>
        <v>n/a</v>
      </c>
      <c r="S90" s="77"/>
      <c r="T90" s="77"/>
    </row>
    <row r="91" spans="1:20" ht="5.0999999999999996" customHeight="1" collapsed="1" x14ac:dyDescent="0.25">
      <c r="C91" s="374"/>
      <c r="D91" s="374"/>
      <c r="F91" s="374"/>
      <c r="G91" s="374"/>
      <c r="H91" s="374"/>
      <c r="I91" s="374"/>
      <c r="J91" s="432"/>
      <c r="P91" s="452"/>
    </row>
    <row r="92" spans="1:20" x14ac:dyDescent="0.25">
      <c r="C92" s="374" t="s">
        <v>52</v>
      </c>
      <c r="D92" s="388" t="s">
        <v>37</v>
      </c>
      <c r="F92" s="374"/>
      <c r="G92" s="423">
        <f>+'3. Input_Historie'!G61</f>
        <v>-30</v>
      </c>
      <c r="H92" s="423">
        <f>+'3. Input_Historie'!H61</f>
        <v>-35</v>
      </c>
      <c r="I92" s="423">
        <f>+'3. Input_Historie'!I61</f>
        <v>-40</v>
      </c>
      <c r="J92" s="424">
        <f>+'3. Input_Historie'!J61</f>
        <v>-40</v>
      </c>
      <c r="K92" s="457">
        <f t="shared" ref="K92:P92" ca="1" si="31">-K299</f>
        <v>-51.128772880952376</v>
      </c>
      <c r="L92" s="458">
        <f t="shared" ca="1" si="31"/>
        <v>-45.970253396904788</v>
      </c>
      <c r="M92" s="458">
        <f t="shared" ca="1" si="31"/>
        <v>-47.76718280393812</v>
      </c>
      <c r="N92" s="458">
        <f t="shared" ca="1" si="31"/>
        <v>-49.7219992351638</v>
      </c>
      <c r="O92" s="458">
        <f t="shared" ca="1" si="31"/>
        <v>-51.843883772526198</v>
      </c>
      <c r="P92" s="453">
        <f t="shared" ca="1" si="31"/>
        <v>-53.424737632830805</v>
      </c>
      <c r="S92" s="61"/>
      <c r="T92" s="77"/>
    </row>
    <row r="93" spans="1:20" x14ac:dyDescent="0.25">
      <c r="C93" s="425" t="s">
        <v>53</v>
      </c>
      <c r="D93" s="426" t="s">
        <v>37</v>
      </c>
      <c r="E93" s="427"/>
      <c r="F93" s="416"/>
      <c r="G93" s="428">
        <f t="shared" ref="G93:J93" si="32">+G89+G92</f>
        <v>106.79999999999995</v>
      </c>
      <c r="H93" s="428">
        <f t="shared" si="32"/>
        <v>101.79999999999995</v>
      </c>
      <c r="I93" s="428">
        <f t="shared" si="32"/>
        <v>155.60000000000002</v>
      </c>
      <c r="J93" s="429">
        <f t="shared" si="32"/>
        <v>162.8000000000001</v>
      </c>
      <c r="K93" s="441">
        <f t="shared" ref="K93:P93" ca="1" si="33">+K89+K92</f>
        <v>130.98617949999999</v>
      </c>
      <c r="L93" s="441">
        <f t="shared" ca="1" si="33"/>
        <v>117.77063136500007</v>
      </c>
      <c r="M93" s="441">
        <f t="shared" ca="1" si="33"/>
        <v>122.37416289130007</v>
      </c>
      <c r="N93" s="441">
        <f t="shared" ca="1" si="33"/>
        <v>127.38218325874109</v>
      </c>
      <c r="O93" s="441">
        <f t="shared" ca="1" si="33"/>
        <v>132.81821336915215</v>
      </c>
      <c r="P93" s="450">
        <f t="shared" ca="1" si="33"/>
        <v>136.86818358829404</v>
      </c>
      <c r="S93" s="61"/>
      <c r="T93" s="77"/>
    </row>
    <row r="94" spans="1:20" x14ac:dyDescent="0.25">
      <c r="C94" s="374"/>
      <c r="D94" s="374"/>
      <c r="F94" s="374"/>
      <c r="G94" s="374"/>
      <c r="H94" s="374"/>
      <c r="I94" s="374"/>
      <c r="J94" s="374"/>
      <c r="P94" s="374"/>
    </row>
    <row r="95" spans="1:20" x14ac:dyDescent="0.25">
      <c r="C95" s="374"/>
      <c r="D95" s="374"/>
      <c r="F95" s="374"/>
      <c r="G95" s="374"/>
      <c r="H95" s="374"/>
      <c r="I95" s="374"/>
      <c r="J95" s="374"/>
    </row>
    <row r="96" spans="1:20" ht="22.5" x14ac:dyDescent="0.35">
      <c r="A96" s="5" t="s">
        <v>55</v>
      </c>
      <c r="C96" s="387"/>
      <c r="D96" s="374"/>
      <c r="F96" s="374"/>
      <c r="G96" s="374"/>
      <c r="H96" s="394"/>
      <c r="I96" s="374"/>
      <c r="J96" s="374"/>
    </row>
    <row r="97" spans="3:20" ht="22.5" x14ac:dyDescent="0.35">
      <c r="C97" s="462"/>
      <c r="D97" s="374"/>
      <c r="F97" s="374"/>
      <c r="G97" s="374"/>
      <c r="H97" s="374"/>
      <c r="I97" s="374"/>
      <c r="J97" s="374"/>
    </row>
    <row r="98" spans="3:20" ht="22.5" x14ac:dyDescent="0.35">
      <c r="C98" s="462" t="str">
        <f>+'3. Input_Historie'!C67</f>
        <v>AKTIVA</v>
      </c>
      <c r="D98" s="374"/>
      <c r="F98" s="374"/>
      <c r="G98" s="412"/>
      <c r="H98" s="412"/>
      <c r="I98" s="412"/>
      <c r="J98" s="413" t="s">
        <v>38</v>
      </c>
      <c r="K98" s="480" t="s">
        <v>39</v>
      </c>
      <c r="L98" s="480"/>
      <c r="M98" s="480"/>
      <c r="N98" s="480"/>
      <c r="O98" s="480"/>
      <c r="P98" s="481" t="s">
        <v>104</v>
      </c>
      <c r="Q98" s="374"/>
      <c r="S98" s="61"/>
      <c r="T98" s="61"/>
    </row>
    <row r="99" spans="3:20" x14ac:dyDescent="0.25">
      <c r="C99" s="374"/>
      <c r="D99" s="374"/>
      <c r="F99" s="374"/>
      <c r="G99" s="414">
        <f ca="1">+'3. Input_Historie'!G$26</f>
        <v>2023</v>
      </c>
      <c r="H99" s="414">
        <f ca="1">+'3. Input_Historie'!H$26</f>
        <v>2024</v>
      </c>
      <c r="I99" s="414">
        <f ca="1">+'3. Input_Historie'!I$26</f>
        <v>2025</v>
      </c>
      <c r="J99" s="415">
        <f ca="1">+'3. Input_Historie'!J$26</f>
        <v>2026</v>
      </c>
      <c r="K99" s="482">
        <f ca="1">+J99+1</f>
        <v>2027</v>
      </c>
      <c r="L99" s="483">
        <f ca="1">+K99+1</f>
        <v>2028</v>
      </c>
      <c r="M99" s="483">
        <f ca="1">+L99+1</f>
        <v>2029</v>
      </c>
      <c r="N99" s="483">
        <f ca="1">+M99+1</f>
        <v>2030</v>
      </c>
      <c r="O99" s="484">
        <f ca="1">+N99+1</f>
        <v>2031</v>
      </c>
      <c r="P99" s="485">
        <f ca="1">+OFFSET(J99,,'2. Input_Allgemein'!$E$36)+1</f>
        <v>2032</v>
      </c>
      <c r="Q99" s="374"/>
    </row>
    <row r="100" spans="3:20" x14ac:dyDescent="0.25">
      <c r="C100" s="374" t="str">
        <f>+'3. Input_Historie'!C69</f>
        <v>Sachanlagen und immaterielle Vermögenswerte zu Periodenbeginn</v>
      </c>
      <c r="D100" s="374"/>
      <c r="F100" s="374"/>
      <c r="G100" s="463"/>
      <c r="H100" s="433">
        <f>+'3. Input_Historie'!H69</f>
        <v>320</v>
      </c>
      <c r="I100" s="433">
        <f>+'3. Input_Historie'!I69</f>
        <v>340</v>
      </c>
      <c r="J100" s="418">
        <f>+'3. Input_Historie'!J69</f>
        <v>360</v>
      </c>
      <c r="K100" s="486">
        <f>+J105</f>
        <v>380</v>
      </c>
      <c r="L100" s="486">
        <f ca="1">+K105</f>
        <v>442.11428571428576</v>
      </c>
      <c r="M100" s="486">
        <f ca="1">+L105</f>
        <v>490.64857142857147</v>
      </c>
      <c r="N100" s="486">
        <f ca="1">+M105</f>
        <v>524.92385714285717</v>
      </c>
      <c r="O100" s="487">
        <f ca="1">+N105</f>
        <v>544.227192857143</v>
      </c>
      <c r="P100" s="478">
        <f ca="1">+OFFSET(J105,,'2. Input_Allgemein'!$E$36)</f>
        <v>547.80998107142887</v>
      </c>
      <c r="S100" s="77"/>
    </row>
    <row r="101" spans="3:20" x14ac:dyDescent="0.25">
      <c r="C101" s="464" t="str">
        <f>+'3. Input_Historie'!C70</f>
        <v>Investitionen</v>
      </c>
      <c r="D101" s="374"/>
      <c r="F101" s="374"/>
      <c r="G101" s="465"/>
      <c r="H101" s="435">
        <f>+'3. Input_Historie'!H70</f>
        <v>50</v>
      </c>
      <c r="I101" s="435">
        <f>+'3. Input_Historie'!I70</f>
        <v>50</v>
      </c>
      <c r="J101" s="436">
        <f>+'3. Input_Historie'!J70</f>
        <v>50</v>
      </c>
      <c r="K101" s="706">
        <f>+K58*0.2</f>
        <v>135.80000000000004</v>
      </c>
      <c r="L101" s="706">
        <f t="shared" ref="L101:O101" si="34">+L58*0.2</f>
        <v>142.59000000000003</v>
      </c>
      <c r="M101" s="706">
        <f t="shared" si="34"/>
        <v>149.71950000000004</v>
      </c>
      <c r="N101" s="706">
        <f t="shared" si="34"/>
        <v>157.20547500000006</v>
      </c>
      <c r="O101" s="707">
        <f t="shared" si="34"/>
        <v>165.06574875000007</v>
      </c>
      <c r="P101" s="449">
        <f ca="1">+OFFSET(J101,,'2. Input_Allgemein'!$E$36)*(1+$V$50)</f>
        <v>167.54173498125004</v>
      </c>
      <c r="S101" s="77"/>
    </row>
    <row r="102" spans="3:20" x14ac:dyDescent="0.25">
      <c r="C102" s="464" t="str">
        <f>+'3. Input_Historie'!C71</f>
        <v>Desinvestitionen</v>
      </c>
      <c r="D102" s="374"/>
      <c r="F102" s="374"/>
      <c r="G102" s="465"/>
      <c r="H102" s="435">
        <f>+'3. Input_Historie'!H71</f>
        <v>0</v>
      </c>
      <c r="I102" s="435">
        <f>+'3. Input_Historie'!I71</f>
        <v>0</v>
      </c>
      <c r="J102" s="436">
        <f>+'3. Input_Historie'!J71</f>
        <v>0</v>
      </c>
      <c r="K102" s="706">
        <v>0</v>
      </c>
      <c r="L102" s="706">
        <v>0</v>
      </c>
      <c r="M102" s="706">
        <v>0</v>
      </c>
      <c r="N102" s="706">
        <v>0</v>
      </c>
      <c r="O102" s="707">
        <v>0</v>
      </c>
      <c r="P102" s="449">
        <f ca="1">+OFFSET(J102,,'2. Input_Allgemein'!$E$36)*(1+$V$50)</f>
        <v>0</v>
      </c>
      <c r="S102" s="77"/>
    </row>
    <row r="103" spans="3:20" x14ac:dyDescent="0.25">
      <c r="C103" s="464" t="str">
        <f>+'3. Input_Historie'!C72</f>
        <v>Zuschreibungen</v>
      </c>
      <c r="D103" s="374"/>
      <c r="F103" s="374"/>
      <c r="G103" s="465"/>
      <c r="H103" s="435">
        <f>+'3. Input_Historie'!H72</f>
        <v>0</v>
      </c>
      <c r="I103" s="435">
        <f>+'3. Input_Historie'!I72</f>
        <v>0</v>
      </c>
      <c r="J103" s="436">
        <f>+'3. Input_Historie'!J72</f>
        <v>0</v>
      </c>
      <c r="K103" s="706">
        <v>0</v>
      </c>
      <c r="L103" s="706">
        <v>0</v>
      </c>
      <c r="M103" s="706">
        <v>0</v>
      </c>
      <c r="N103" s="706">
        <v>0</v>
      </c>
      <c r="O103" s="707">
        <v>0</v>
      </c>
      <c r="P103" s="449">
        <f ca="1">+OFFSET(J103,,'2. Input_Allgemein'!$E$36)*(1+$V$50)</f>
        <v>0</v>
      </c>
      <c r="S103" s="77"/>
    </row>
    <row r="104" spans="3:20" x14ac:dyDescent="0.25">
      <c r="C104" s="464" t="str">
        <f>+'3. Input_Historie'!C73</f>
        <v>Abschreibungen</v>
      </c>
      <c r="D104" s="374"/>
      <c r="F104" s="374"/>
      <c r="G104" s="437">
        <f>+'3. Input_Historie'!G73</f>
        <v>-30</v>
      </c>
      <c r="H104" s="437">
        <f>+'3. Input_Historie'!H73</f>
        <v>-30</v>
      </c>
      <c r="I104" s="437">
        <f>+'3. Input_Historie'!I73</f>
        <v>-30</v>
      </c>
      <c r="J104" s="438">
        <f>+'3. Input_Historie'!J73</f>
        <v>-30</v>
      </c>
      <c r="K104" s="458">
        <f t="shared" ref="K104:P104" ca="1" si="35">+K230</f>
        <v>-73.685714285714283</v>
      </c>
      <c r="L104" s="458">
        <f t="shared" ca="1" si="35"/>
        <v>-94.055714285714288</v>
      </c>
      <c r="M104" s="458">
        <f t="shared" ca="1" si="35"/>
        <v>-115.4442142857143</v>
      </c>
      <c r="N104" s="458">
        <f t="shared" ca="1" si="35"/>
        <v>-137.9021392857143</v>
      </c>
      <c r="O104" s="459">
        <f t="shared" ca="1" si="35"/>
        <v>-161.48296053571431</v>
      </c>
      <c r="P104" s="446">
        <f t="shared" ca="1" si="35"/>
        <v>-161.48296053571431</v>
      </c>
      <c r="S104" s="77"/>
    </row>
    <row r="105" spans="3:20" x14ac:dyDescent="0.25">
      <c r="C105" s="425" t="str">
        <f>+'3. Input_Historie'!C74</f>
        <v>Sachanlagen und immaterielle Vermögenswerte zu Periodenende</v>
      </c>
      <c r="D105" s="426"/>
      <c r="E105" s="427"/>
      <c r="F105" s="427"/>
      <c r="G105" s="428">
        <f>+'3. Input_Historie'!G74</f>
        <v>320</v>
      </c>
      <c r="H105" s="428">
        <f t="shared" ref="H105:J105" si="36">+SUM(H100:H104)</f>
        <v>340</v>
      </c>
      <c r="I105" s="428">
        <f t="shared" si="36"/>
        <v>360</v>
      </c>
      <c r="J105" s="429">
        <f t="shared" si="36"/>
        <v>380</v>
      </c>
      <c r="K105" s="441">
        <f ca="1">+SUM(K100:K104)</f>
        <v>442.11428571428576</v>
      </c>
      <c r="L105" s="441">
        <f ca="1">+SUM(L100:L104)</f>
        <v>490.64857142857147</v>
      </c>
      <c r="M105" s="441">
        <f ca="1">+SUM(M100:M104)</f>
        <v>524.92385714285717</v>
      </c>
      <c r="N105" s="441">
        <f ca="1">+SUM(N100:N104)</f>
        <v>544.227192857143</v>
      </c>
      <c r="O105" s="442">
        <f ca="1">+SUM(O100:O104)</f>
        <v>547.80998107142887</v>
      </c>
      <c r="P105" s="443">
        <f ca="1">(+OFFSET(J105,,'2. Input_Allgemein'!$E$36)*(1+$V$50))*0+SUM(P100:P104)</f>
        <v>553.86875551696471</v>
      </c>
      <c r="S105" s="77"/>
    </row>
    <row r="106" spans="3:20" x14ac:dyDescent="0.25">
      <c r="C106" s="374"/>
      <c r="D106" s="374"/>
      <c r="F106" s="374"/>
      <c r="G106" s="374"/>
      <c r="H106" s="374"/>
      <c r="I106" s="374"/>
      <c r="J106" s="432"/>
      <c r="O106" s="432"/>
      <c r="P106" s="471"/>
    </row>
    <row r="107" spans="3:20" x14ac:dyDescent="0.25">
      <c r="C107" s="374"/>
      <c r="D107" s="374"/>
      <c r="F107" s="374"/>
      <c r="G107" s="437">
        <f>+'3. Input_Historie'!G76</f>
        <v>0</v>
      </c>
      <c r="H107" s="437">
        <f>+'3. Input_Historie'!H76</f>
        <v>0</v>
      </c>
      <c r="I107" s="437">
        <f>+'3. Input_Historie'!I76</f>
        <v>0</v>
      </c>
      <c r="J107" s="438">
        <f>+'3. Input_Historie'!J76</f>
        <v>0</v>
      </c>
      <c r="K107" s="699">
        <v>0</v>
      </c>
      <c r="L107" s="699">
        <v>0</v>
      </c>
      <c r="M107" s="699">
        <v>0</v>
      </c>
      <c r="N107" s="699">
        <v>0</v>
      </c>
      <c r="O107" s="700">
        <v>0</v>
      </c>
      <c r="P107" s="446">
        <f ca="1">+OFFSET(J107,,'2. Input_Allgemein'!$E$36)*(1+$V$50)</f>
        <v>0</v>
      </c>
      <c r="S107" s="77"/>
    </row>
    <row r="108" spans="3:20" x14ac:dyDescent="0.25">
      <c r="C108" s="425" t="str">
        <f>+'3. Input_Historie'!C77</f>
        <v>Finanzanlagen</v>
      </c>
      <c r="D108" s="426"/>
      <c r="E108" s="427"/>
      <c r="F108" s="427"/>
      <c r="G108" s="428">
        <f t="shared" ref="G108:O108" si="37">+G107</f>
        <v>0</v>
      </c>
      <c r="H108" s="428">
        <f t="shared" si="37"/>
        <v>0</v>
      </c>
      <c r="I108" s="428">
        <f t="shared" si="37"/>
        <v>0</v>
      </c>
      <c r="J108" s="429">
        <f t="shared" si="37"/>
        <v>0</v>
      </c>
      <c r="K108" s="441">
        <f t="shared" si="37"/>
        <v>0</v>
      </c>
      <c r="L108" s="441">
        <f t="shared" si="37"/>
        <v>0</v>
      </c>
      <c r="M108" s="441">
        <f t="shared" si="37"/>
        <v>0</v>
      </c>
      <c r="N108" s="441">
        <f t="shared" si="37"/>
        <v>0</v>
      </c>
      <c r="O108" s="442">
        <f t="shared" si="37"/>
        <v>0</v>
      </c>
      <c r="P108" s="443">
        <f ca="1">+P107</f>
        <v>0</v>
      </c>
      <c r="S108" s="77"/>
    </row>
    <row r="109" spans="3:20" x14ac:dyDescent="0.25">
      <c r="C109" s="374"/>
      <c r="D109" s="374"/>
      <c r="F109" s="374"/>
      <c r="G109" s="374"/>
      <c r="H109" s="374"/>
      <c r="I109" s="374"/>
      <c r="J109" s="432"/>
      <c r="O109" s="432"/>
      <c r="P109" s="471"/>
    </row>
    <row r="110" spans="3:20" x14ac:dyDescent="0.25">
      <c r="C110" s="374" t="str">
        <f>+'3. Input_Historie'!C79</f>
        <v>Vorräte</v>
      </c>
      <c r="D110" s="374"/>
      <c r="F110" s="374"/>
      <c r="G110" s="435">
        <f>+'3. Input_Historie'!G79</f>
        <v>92.666666666666686</v>
      </c>
      <c r="H110" s="435">
        <f>+'3. Input_Historie'!H79</f>
        <v>92.666666666666686</v>
      </c>
      <c r="I110" s="435">
        <f>+'3. Input_Historie'!I79</f>
        <v>125.33333333333336</v>
      </c>
      <c r="J110" s="436">
        <f>+'3. Input_Historie'!J79</f>
        <v>129.33333333333334</v>
      </c>
      <c r="K110" s="706">
        <f>+J110*1.05</f>
        <v>135.80000000000001</v>
      </c>
      <c r="L110" s="706">
        <f t="shared" ref="L110:O110" si="38">+K110*1.05</f>
        <v>142.59000000000003</v>
      </c>
      <c r="M110" s="706">
        <f t="shared" si="38"/>
        <v>149.71950000000004</v>
      </c>
      <c r="N110" s="706">
        <f t="shared" si="38"/>
        <v>157.20547500000004</v>
      </c>
      <c r="O110" s="707">
        <f t="shared" si="38"/>
        <v>165.06574875000004</v>
      </c>
      <c r="P110" s="479">
        <f ca="1">+OFFSET(J110,,'2. Input_Allgemein'!$E$36)*(1+$V$50)</f>
        <v>167.54173498125002</v>
      </c>
      <c r="S110" s="77"/>
    </row>
    <row r="111" spans="3:20" x14ac:dyDescent="0.25">
      <c r="C111" s="374" t="str">
        <f>+'3. Input_Historie'!C80</f>
        <v>Forderungen aus Lieferung und Leistungen</v>
      </c>
      <c r="D111" s="374"/>
      <c r="F111" s="374"/>
      <c r="G111" s="435">
        <f>+'3. Input_Historie'!G80</f>
        <v>115.83333333333334</v>
      </c>
      <c r="H111" s="435">
        <f>+'3. Input_Historie'!H80</f>
        <v>115.83333333333334</v>
      </c>
      <c r="I111" s="435">
        <f>+'3. Input_Historie'!I80</f>
        <v>156.66666666666669</v>
      </c>
      <c r="J111" s="436">
        <f>+'3. Input_Historie'!J80</f>
        <v>161.66666666666669</v>
      </c>
      <c r="K111" s="706">
        <f t="shared" ref="K111:O111" si="39">+J111*1.05</f>
        <v>169.75000000000003</v>
      </c>
      <c r="L111" s="706">
        <f t="shared" si="39"/>
        <v>178.23750000000004</v>
      </c>
      <c r="M111" s="706">
        <f t="shared" si="39"/>
        <v>187.14937500000005</v>
      </c>
      <c r="N111" s="706">
        <f t="shared" si="39"/>
        <v>196.50684375000006</v>
      </c>
      <c r="O111" s="707">
        <f t="shared" si="39"/>
        <v>206.33218593750007</v>
      </c>
      <c r="P111" s="479">
        <f ca="1">+OFFSET(J111,,'2. Input_Allgemein'!$E$36)*(1+$V$50)</f>
        <v>209.42716872656254</v>
      </c>
      <c r="S111" s="77"/>
      <c r="T111" s="61"/>
    </row>
    <row r="112" spans="3:20" x14ac:dyDescent="0.25">
      <c r="C112" s="374" t="str">
        <f>+'3. Input_Historie'!C81</f>
        <v>Forderungen und sonstige Vermögensgegenstände</v>
      </c>
      <c r="D112" s="374"/>
      <c r="F112" s="374"/>
      <c r="G112" s="435">
        <f>+'3. Input_Historie'!G81</f>
        <v>0</v>
      </c>
      <c r="H112" s="435">
        <f>+'3. Input_Historie'!H81</f>
        <v>0</v>
      </c>
      <c r="I112" s="435">
        <f>+'3. Input_Historie'!I81</f>
        <v>0</v>
      </c>
      <c r="J112" s="436">
        <f>+'3. Input_Historie'!J81</f>
        <v>0</v>
      </c>
      <c r="K112" s="706">
        <f t="shared" ref="K112:O112" si="40">+J112*1.05</f>
        <v>0</v>
      </c>
      <c r="L112" s="706">
        <f t="shared" si="40"/>
        <v>0</v>
      </c>
      <c r="M112" s="706">
        <f t="shared" si="40"/>
        <v>0</v>
      </c>
      <c r="N112" s="706">
        <f t="shared" si="40"/>
        <v>0</v>
      </c>
      <c r="O112" s="707">
        <f t="shared" si="40"/>
        <v>0</v>
      </c>
      <c r="P112" s="479">
        <f ca="1">+OFFSET(J112,,'2. Input_Allgemein'!$E$36)*(1+$V$50)</f>
        <v>0</v>
      </c>
      <c r="S112" s="77"/>
    </row>
    <row r="113" spans="3:20" x14ac:dyDescent="0.25">
      <c r="C113" s="374" t="str">
        <f>+'3. Input_Historie'!C82</f>
        <v>[Platzhalter]</v>
      </c>
      <c r="D113" s="374"/>
      <c r="F113" s="374"/>
      <c r="G113" s="435">
        <f>+'3. Input_Historie'!G82</f>
        <v>0</v>
      </c>
      <c r="H113" s="435">
        <f>+'3. Input_Historie'!H82</f>
        <v>0</v>
      </c>
      <c r="I113" s="435">
        <f>+'3. Input_Historie'!I82</f>
        <v>0</v>
      </c>
      <c r="J113" s="436">
        <f>+'3. Input_Historie'!J82</f>
        <v>0</v>
      </c>
      <c r="K113" s="706">
        <f t="shared" ref="K113:O113" si="41">+J113*1.05</f>
        <v>0</v>
      </c>
      <c r="L113" s="706">
        <f t="shared" si="41"/>
        <v>0</v>
      </c>
      <c r="M113" s="706">
        <f t="shared" si="41"/>
        <v>0</v>
      </c>
      <c r="N113" s="706">
        <f t="shared" si="41"/>
        <v>0</v>
      </c>
      <c r="O113" s="707">
        <f t="shared" si="41"/>
        <v>0</v>
      </c>
      <c r="P113" s="479">
        <f ca="1">+OFFSET(J113,,'2. Input_Allgemein'!$E$36)*(1+$V$50)</f>
        <v>0</v>
      </c>
      <c r="S113" s="77"/>
    </row>
    <row r="114" spans="3:20" x14ac:dyDescent="0.25">
      <c r="C114" s="374" t="str">
        <f>+'3. Input_Historie'!C83</f>
        <v>[Platzhalter]</v>
      </c>
      <c r="D114" s="374"/>
      <c r="F114" s="374"/>
      <c r="G114" s="437">
        <f>+'3. Input_Historie'!G83</f>
        <v>0</v>
      </c>
      <c r="H114" s="437">
        <f>+'3. Input_Historie'!H83</f>
        <v>0</v>
      </c>
      <c r="I114" s="437">
        <f>+'3. Input_Historie'!I83</f>
        <v>0</v>
      </c>
      <c r="J114" s="438">
        <f>+'3. Input_Historie'!J83</f>
        <v>0</v>
      </c>
      <c r="K114" s="699">
        <f t="shared" ref="K114:O114" si="42">+J114*1.05</f>
        <v>0</v>
      </c>
      <c r="L114" s="699">
        <f t="shared" si="42"/>
        <v>0</v>
      </c>
      <c r="M114" s="699">
        <f t="shared" si="42"/>
        <v>0</v>
      </c>
      <c r="N114" s="699">
        <f t="shared" si="42"/>
        <v>0</v>
      </c>
      <c r="O114" s="700">
        <f t="shared" si="42"/>
        <v>0</v>
      </c>
      <c r="P114" s="477">
        <f ca="1">+OFFSET(J114,,'2. Input_Allgemein'!$E$36)*(1+$V$50)</f>
        <v>0</v>
      </c>
      <c r="S114" s="77"/>
    </row>
    <row r="115" spans="3:20" x14ac:dyDescent="0.25">
      <c r="C115" s="425" t="str">
        <f>+'3. Input_Historie'!C84</f>
        <v>Unverzinsliches Umlaufvermögen</v>
      </c>
      <c r="D115" s="426"/>
      <c r="E115" s="427"/>
      <c r="F115" s="416"/>
      <c r="G115" s="428">
        <f t="shared" ref="G115:O115" si="43">+SUM(G110:G114)</f>
        <v>208.50000000000003</v>
      </c>
      <c r="H115" s="428">
        <f t="shared" si="43"/>
        <v>208.50000000000003</v>
      </c>
      <c r="I115" s="428">
        <f t="shared" si="43"/>
        <v>282.00000000000006</v>
      </c>
      <c r="J115" s="429">
        <f t="shared" si="43"/>
        <v>291</v>
      </c>
      <c r="K115" s="441">
        <f t="shared" si="43"/>
        <v>305.55000000000007</v>
      </c>
      <c r="L115" s="441">
        <f t="shared" si="43"/>
        <v>320.8275000000001</v>
      </c>
      <c r="M115" s="441">
        <f t="shared" si="43"/>
        <v>336.86887500000012</v>
      </c>
      <c r="N115" s="441">
        <f t="shared" si="43"/>
        <v>353.71231875000012</v>
      </c>
      <c r="O115" s="442">
        <f t="shared" si="43"/>
        <v>371.39793468750008</v>
      </c>
      <c r="P115" s="443">
        <f ca="1">+SUM(P110:P114)</f>
        <v>376.96890370781256</v>
      </c>
      <c r="Q115" s="374"/>
      <c r="R115" s="374"/>
      <c r="S115" s="77"/>
    </row>
    <row r="116" spans="3:20" x14ac:dyDescent="0.25">
      <c r="C116" s="374"/>
      <c r="D116" s="374"/>
      <c r="F116" s="374"/>
      <c r="G116" s="374"/>
      <c r="H116" s="374"/>
      <c r="I116" s="374"/>
      <c r="J116" s="432"/>
      <c r="O116" s="432"/>
      <c r="P116" s="471"/>
      <c r="Q116" s="374"/>
      <c r="R116" s="374"/>
    </row>
    <row r="117" spans="3:20" x14ac:dyDescent="0.25">
      <c r="C117" s="425" t="str">
        <f>+'3. Input_Historie'!C86</f>
        <v>Liquide Mittel</v>
      </c>
      <c r="D117" s="426"/>
      <c r="E117" s="427"/>
      <c r="F117" s="427"/>
      <c r="G117" s="428">
        <f>+'3. Input_Historie'!G86</f>
        <v>-254.03333333333342</v>
      </c>
      <c r="H117" s="428">
        <f>+'3. Input_Historie'!H86</f>
        <v>-172.23333333333346</v>
      </c>
      <c r="I117" s="428">
        <f>+'3. Input_Historie'!I86</f>
        <v>-77.466666666666782</v>
      </c>
      <c r="J117" s="429">
        <f>+'3. Input_Historie'!J86</f>
        <v>60.333333333333343</v>
      </c>
      <c r="K117" s="441">
        <f ca="1">+K184</f>
        <v>475.00000000000006</v>
      </c>
      <c r="L117" s="441">
        <f ca="1">+L184</f>
        <v>475.00000000000006</v>
      </c>
      <c r="M117" s="441">
        <f ca="1">+M184</f>
        <v>475.00000000000006</v>
      </c>
      <c r="N117" s="441">
        <f ca="1">+N184</f>
        <v>475.00000000000006</v>
      </c>
      <c r="O117" s="442">
        <f ca="1">+O184</f>
        <v>475.00000000000017</v>
      </c>
      <c r="P117" s="443">
        <f ca="1">+OFFSET(J117,,'2. Input_Allgemein'!$E$36)*(1+$V$50)*1</f>
        <v>482.12500000000011</v>
      </c>
      <c r="Q117" s="374"/>
      <c r="R117" s="374"/>
      <c r="S117" s="77"/>
    </row>
    <row r="118" spans="3:20" x14ac:dyDescent="0.25">
      <c r="C118" s="374"/>
      <c r="D118" s="374"/>
      <c r="F118" s="374"/>
      <c r="G118" s="374"/>
      <c r="H118" s="374"/>
      <c r="I118" s="374"/>
      <c r="J118" s="432"/>
      <c r="O118" s="432"/>
      <c r="P118" s="471"/>
      <c r="Q118" s="374"/>
      <c r="R118" s="374"/>
    </row>
    <row r="119" spans="3:20" x14ac:dyDescent="0.25">
      <c r="C119" s="374" t="str">
        <f>+'3. Input_Historie'!C88</f>
        <v>Positiver Finanzierungssaldo</v>
      </c>
      <c r="D119" s="374"/>
      <c r="F119" s="374"/>
      <c r="G119" s="465"/>
      <c r="H119" s="465"/>
      <c r="I119" s="465"/>
      <c r="J119" s="466"/>
      <c r="K119" s="468">
        <f t="shared" ref="K119:P119" ca="1" si="44">+IF(K266&gt;0,+K266,0)</f>
        <v>0</v>
      </c>
      <c r="L119" s="468">
        <f t="shared" ca="1" si="44"/>
        <v>0</v>
      </c>
      <c r="M119" s="468">
        <f t="shared" ca="1" si="44"/>
        <v>0</v>
      </c>
      <c r="N119" s="468">
        <f t="shared" ca="1" si="44"/>
        <v>0</v>
      </c>
      <c r="O119" s="469">
        <f t="shared" ca="1" si="44"/>
        <v>0</v>
      </c>
      <c r="P119" s="470">
        <f t="shared" ca="1" si="44"/>
        <v>0</v>
      </c>
      <c r="Q119" s="374"/>
      <c r="R119" s="374"/>
      <c r="S119" s="77"/>
    </row>
    <row r="120" spans="3:20" x14ac:dyDescent="0.25">
      <c r="C120" s="374"/>
      <c r="D120" s="374"/>
      <c r="F120" s="374"/>
      <c r="G120" s="374"/>
      <c r="H120" s="374"/>
      <c r="I120" s="374"/>
      <c r="J120" s="432"/>
      <c r="O120" s="432"/>
      <c r="P120" s="471"/>
      <c r="Q120" s="374"/>
      <c r="R120" s="374"/>
    </row>
    <row r="121" spans="3:20" x14ac:dyDescent="0.25">
      <c r="C121" s="425" t="str">
        <f>+'3. Input_Historie'!C90</f>
        <v>Summe Aktiva</v>
      </c>
      <c r="D121" s="426"/>
      <c r="E121" s="427"/>
      <c r="F121" s="427"/>
      <c r="G121" s="428">
        <f t="shared" ref="G121:J121" si="45">+G105+G108+G115+G117+G119</f>
        <v>274.46666666666658</v>
      </c>
      <c r="H121" s="428">
        <f t="shared" si="45"/>
        <v>376.26666666666654</v>
      </c>
      <c r="I121" s="428">
        <f t="shared" si="45"/>
        <v>564.53333333333319</v>
      </c>
      <c r="J121" s="429">
        <f t="shared" si="45"/>
        <v>731.33333333333337</v>
      </c>
      <c r="K121" s="441">
        <f t="shared" ref="K121:P121" ca="1" si="46">+K105+K108+K115+K117+K119</f>
        <v>1222.6642857142858</v>
      </c>
      <c r="L121" s="441">
        <f t="shared" ca="1" si="46"/>
        <v>1286.4760714285717</v>
      </c>
      <c r="M121" s="441">
        <f t="shared" ca="1" si="46"/>
        <v>1336.7927321428574</v>
      </c>
      <c r="N121" s="441">
        <f t="shared" ca="1" si="46"/>
        <v>1372.9395116071432</v>
      </c>
      <c r="O121" s="442">
        <f t="shared" ca="1" si="46"/>
        <v>1394.2079157589292</v>
      </c>
      <c r="P121" s="443">
        <f t="shared" ca="1" si="46"/>
        <v>1412.9626592247773</v>
      </c>
      <c r="Q121" s="374"/>
      <c r="R121" s="374"/>
      <c r="S121" s="77"/>
      <c r="T121" s="61"/>
    </row>
    <row r="122" spans="3:20" x14ac:dyDescent="0.25">
      <c r="C122" s="374"/>
      <c r="D122" s="374"/>
      <c r="F122" s="374"/>
      <c r="G122" s="374"/>
      <c r="H122" s="374"/>
      <c r="I122" s="374"/>
      <c r="J122" s="374"/>
      <c r="K122" s="394"/>
      <c r="L122" s="394"/>
      <c r="M122" s="394"/>
      <c r="N122" s="394"/>
      <c r="O122" s="394"/>
      <c r="P122" s="394"/>
    </row>
    <row r="123" spans="3:20" ht="22.5" x14ac:dyDescent="0.35">
      <c r="C123" s="462" t="str">
        <f>+'3. Input_Historie'!C92</f>
        <v>PASSIVA</v>
      </c>
      <c r="D123" s="374"/>
      <c r="F123" s="374"/>
      <c r="G123" s="374"/>
      <c r="H123" s="374"/>
      <c r="I123" s="374"/>
      <c r="J123" s="374"/>
      <c r="P123" s="374"/>
    </row>
    <row r="124" spans="3:20" x14ac:dyDescent="0.25">
      <c r="C124" s="374"/>
      <c r="D124" s="374"/>
      <c r="F124" s="374"/>
      <c r="G124" s="374"/>
      <c r="H124" s="374"/>
      <c r="I124" s="374"/>
      <c r="J124" s="374"/>
      <c r="K124" s="394"/>
    </row>
    <row r="125" spans="3:20" x14ac:dyDescent="0.25">
      <c r="C125" s="374" t="str">
        <f>+'3. Input_Historie'!C94</f>
        <v>Gezeichnetes Kapital</v>
      </c>
      <c r="D125" s="374"/>
      <c r="F125" s="374"/>
      <c r="G125" s="435">
        <f>+'3. Input_Historie'!G94</f>
        <v>25</v>
      </c>
      <c r="H125" s="435">
        <f>+'3. Input_Historie'!H94</f>
        <v>25</v>
      </c>
      <c r="I125" s="435">
        <f>+'3. Input_Historie'!I94</f>
        <v>25</v>
      </c>
      <c r="J125" s="436">
        <f>+'3. Input_Historie'!J94</f>
        <v>25</v>
      </c>
      <c r="K125" s="706">
        <f>+J125</f>
        <v>25</v>
      </c>
      <c r="L125" s="706">
        <f>+K125</f>
        <v>25</v>
      </c>
      <c r="M125" s="706">
        <f>+L125</f>
        <v>25</v>
      </c>
      <c r="N125" s="706">
        <f>+M125</f>
        <v>25</v>
      </c>
      <c r="O125" s="707">
        <f>+N125</f>
        <v>25</v>
      </c>
      <c r="P125" s="476">
        <f ca="1">+OFFSET(J125,,'2. Input_Allgemein'!$E$36)*(1+$V$50)</f>
        <v>25.374999999999996</v>
      </c>
      <c r="S125" s="77"/>
    </row>
    <row r="126" spans="3:20" x14ac:dyDescent="0.25">
      <c r="C126" s="374" t="str">
        <f>+'3. Input_Historie'!C95</f>
        <v>Kapitalrücklage</v>
      </c>
      <c r="D126" s="374"/>
      <c r="F126" s="374"/>
      <c r="G126" s="435">
        <f>+'3. Input_Historie'!G95</f>
        <v>0</v>
      </c>
      <c r="H126" s="435">
        <f>+'3. Input_Historie'!H95</f>
        <v>0</v>
      </c>
      <c r="I126" s="435">
        <f>+'3. Input_Historie'!I95</f>
        <v>0</v>
      </c>
      <c r="J126" s="436">
        <f>+'3. Input_Historie'!J95</f>
        <v>0</v>
      </c>
      <c r="K126" s="706">
        <v>0</v>
      </c>
      <c r="L126" s="706">
        <v>0</v>
      </c>
      <c r="M126" s="706">
        <v>0</v>
      </c>
      <c r="N126" s="706">
        <v>0</v>
      </c>
      <c r="O126" s="707">
        <v>0</v>
      </c>
      <c r="P126" s="476">
        <f ca="1">+OFFSET(J126,,'2. Input_Allgemein'!$E$36)*(1+$V$50)</f>
        <v>0</v>
      </c>
      <c r="S126" s="77"/>
    </row>
    <row r="127" spans="3:20" x14ac:dyDescent="0.25">
      <c r="C127" s="374" t="str">
        <f>+'3. Input_Historie'!C96</f>
        <v>Gewinnrücklage</v>
      </c>
      <c r="D127" s="374"/>
      <c r="F127" s="374"/>
      <c r="G127" s="435">
        <f>+'3. Input_Historie'!G96</f>
        <v>0</v>
      </c>
      <c r="H127" s="435">
        <f>+'3. Input_Historie'!H96</f>
        <v>0</v>
      </c>
      <c r="I127" s="435">
        <f>+'3. Input_Historie'!I96</f>
        <v>0</v>
      </c>
      <c r="J127" s="436">
        <f>+'3. Input_Historie'!J96</f>
        <v>0</v>
      </c>
      <c r="K127" s="706">
        <v>0</v>
      </c>
      <c r="L127" s="706">
        <v>0</v>
      </c>
      <c r="M127" s="706">
        <v>0</v>
      </c>
      <c r="N127" s="706">
        <v>0</v>
      </c>
      <c r="O127" s="707">
        <v>0</v>
      </c>
      <c r="P127" s="476">
        <f ca="1">+OFFSET(J127,,'2. Input_Allgemein'!$E$36)*(1+$V$50)</f>
        <v>0</v>
      </c>
      <c r="S127" s="77"/>
    </row>
    <row r="128" spans="3:20" x14ac:dyDescent="0.25">
      <c r="C128" s="374" t="str">
        <f>+'3. Input_Historie'!C97</f>
        <v>Gewinn-/ Verlustvortrag</v>
      </c>
      <c r="D128" s="374"/>
      <c r="F128" s="416"/>
      <c r="G128" s="435">
        <f>+'3. Input_Historie'!G97</f>
        <v>-50</v>
      </c>
      <c r="H128" s="435">
        <f>+G128+G129</f>
        <v>56.799999999999955</v>
      </c>
      <c r="I128" s="433">
        <f>+H128+H129</f>
        <v>158.59999999999991</v>
      </c>
      <c r="J128" s="436">
        <f>+I128+I129</f>
        <v>314.19999999999993</v>
      </c>
      <c r="K128" s="468">
        <f>+J128+J129+J130</f>
        <v>477</v>
      </c>
      <c r="L128" s="468">
        <f ca="1">+K128+K129+K130</f>
        <v>476.99999999999994</v>
      </c>
      <c r="M128" s="468">
        <f ca="1">+L128+L129+L130</f>
        <v>534.02178571428567</v>
      </c>
      <c r="N128" s="468">
        <f ca="1">+M128+M129+M130</f>
        <v>577.20894642857138</v>
      </c>
      <c r="O128" s="469">
        <f ca="1">+N128+N129+N130</f>
        <v>605.86975089285716</v>
      </c>
      <c r="P128" s="470">
        <f ca="1">++OFFSET(J128,,'2. Input_Allgemein'!$E$36)++OFFSET(J129,,'2. Input_Allgemein'!$E$36)++OFFSET(J130,,'2. Input_Allgemein'!$E$36)</f>
        <v>619.27788129464284</v>
      </c>
      <c r="R128" s="61"/>
      <c r="S128" s="77"/>
    </row>
    <row r="129" spans="3:19" x14ac:dyDescent="0.25">
      <c r="C129" s="374" t="str">
        <f>+'3. Input_Historie'!C98</f>
        <v>Jahresüberschuss /-fehlbetrag</v>
      </c>
      <c r="D129" s="374"/>
      <c r="F129" s="416"/>
      <c r="G129" s="435">
        <f>+'3. Input_Historie'!G98</f>
        <v>106.79999999999995</v>
      </c>
      <c r="H129" s="435">
        <f>+'3. Input_Historie'!H98</f>
        <v>101.79999999999995</v>
      </c>
      <c r="I129" s="433">
        <f>+'3. Input_Historie'!I98</f>
        <v>155.60000000000002</v>
      </c>
      <c r="J129" s="436">
        <f>+'3. Input_Historie'!J98</f>
        <v>162.8000000000001</v>
      </c>
      <c r="K129" s="468">
        <f t="shared" ref="K129:P129" ca="1" si="47">+K93</f>
        <v>130.98617949999999</v>
      </c>
      <c r="L129" s="468">
        <f t="shared" ca="1" si="47"/>
        <v>117.77063136500007</v>
      </c>
      <c r="M129" s="468">
        <f t="shared" ca="1" si="47"/>
        <v>122.37416289130007</v>
      </c>
      <c r="N129" s="468">
        <f t="shared" ca="1" si="47"/>
        <v>127.38218325874109</v>
      </c>
      <c r="O129" s="469">
        <f t="shared" ca="1" si="47"/>
        <v>132.81821336915215</v>
      </c>
      <c r="P129" s="470">
        <f t="shared" ca="1" si="47"/>
        <v>136.86818358829404</v>
      </c>
      <c r="S129" s="77"/>
    </row>
    <row r="130" spans="3:19" x14ac:dyDescent="0.25">
      <c r="C130" s="374" t="str">
        <f>+'3. Input_Historie'!C99</f>
        <v>Ausschüttung</v>
      </c>
      <c r="D130" s="374"/>
      <c r="F130" s="374"/>
      <c r="G130" s="435">
        <f>+'3. Input_Historie'!G99</f>
        <v>0</v>
      </c>
      <c r="H130" s="435">
        <f>+'3. Input_Historie'!H99</f>
        <v>0</v>
      </c>
      <c r="I130" s="433">
        <f>+'3. Input_Historie'!I99</f>
        <v>0</v>
      </c>
      <c r="J130" s="436">
        <f>+'3. Input_Historie'!J99</f>
        <v>0</v>
      </c>
      <c r="K130" s="468">
        <f t="shared" ref="K130:P130" ca="1" si="48">-K281</f>
        <v>-130.98617949999999</v>
      </c>
      <c r="L130" s="468">
        <f t="shared" ca="1" si="48"/>
        <v>-60.748845650714316</v>
      </c>
      <c r="M130" s="468">
        <f t="shared" ca="1" si="48"/>
        <v>-79.187002177014335</v>
      </c>
      <c r="N130" s="468">
        <f t="shared" ca="1" si="48"/>
        <v>-98.721378794455319</v>
      </c>
      <c r="O130" s="469">
        <f t="shared" ca="1" si="48"/>
        <v>-119.41008296736646</v>
      </c>
      <c r="P130" s="470">
        <f t="shared" ca="1" si="48"/>
        <v>-134.18440914275826</v>
      </c>
      <c r="R130" s="61"/>
      <c r="S130" s="77"/>
    </row>
    <row r="131" spans="3:19" x14ac:dyDescent="0.25">
      <c r="C131" s="374" t="str">
        <f>+'3. Input_Historie'!C100</f>
        <v>[Platzhalter]</v>
      </c>
      <c r="D131" s="374"/>
      <c r="F131" s="374"/>
      <c r="G131" s="437">
        <f>+'3. Input_Historie'!G100</f>
        <v>0</v>
      </c>
      <c r="H131" s="437">
        <f>+'3. Input_Historie'!H100</f>
        <v>0</v>
      </c>
      <c r="I131" s="437">
        <f>+'3. Input_Historie'!I100</f>
        <v>0</v>
      </c>
      <c r="J131" s="438">
        <f>+'3. Input_Historie'!J100</f>
        <v>0</v>
      </c>
      <c r="K131" s="699">
        <v>0</v>
      </c>
      <c r="L131" s="699">
        <v>0</v>
      </c>
      <c r="M131" s="699">
        <v>0</v>
      </c>
      <c r="N131" s="699">
        <v>0</v>
      </c>
      <c r="O131" s="700">
        <v>0</v>
      </c>
      <c r="P131" s="477">
        <f ca="1">+OFFSET(J131,,'2. Input_Allgemein'!$E$36)*(1+$V$50)</f>
        <v>0</v>
      </c>
      <c r="S131" s="77"/>
    </row>
    <row r="132" spans="3:19" x14ac:dyDescent="0.25">
      <c r="C132" s="425" t="str">
        <f>+'3. Input_Historie'!C101</f>
        <v>Eigenkapital</v>
      </c>
      <c r="D132" s="426"/>
      <c r="E132" s="427"/>
      <c r="F132" s="427"/>
      <c r="G132" s="428">
        <f t="shared" ref="G132:J132" si="49">+SUM(G125:G131)</f>
        <v>81.799999999999955</v>
      </c>
      <c r="H132" s="428">
        <f t="shared" si="49"/>
        <v>183.59999999999991</v>
      </c>
      <c r="I132" s="428">
        <f t="shared" si="49"/>
        <v>339.19999999999993</v>
      </c>
      <c r="J132" s="429">
        <f t="shared" si="49"/>
        <v>502</v>
      </c>
      <c r="K132" s="441">
        <f t="shared" ref="K132:P132" ca="1" si="50">+SUM(K125:K131)</f>
        <v>501.99999999999994</v>
      </c>
      <c r="L132" s="441">
        <f t="shared" ca="1" si="50"/>
        <v>559.02178571428567</v>
      </c>
      <c r="M132" s="441">
        <f t="shared" ca="1" si="50"/>
        <v>602.20894642857138</v>
      </c>
      <c r="N132" s="441">
        <f t="shared" ca="1" si="50"/>
        <v>630.86975089285716</v>
      </c>
      <c r="O132" s="442">
        <f t="shared" ca="1" si="50"/>
        <v>644.27788129464284</v>
      </c>
      <c r="P132" s="443">
        <f t="shared" ca="1" si="50"/>
        <v>647.33665574017868</v>
      </c>
      <c r="R132" s="61"/>
      <c r="S132" s="77"/>
    </row>
    <row r="133" spans="3:19" x14ac:dyDescent="0.25">
      <c r="C133" s="374"/>
      <c r="D133" s="374"/>
      <c r="F133" s="374"/>
      <c r="G133" s="374"/>
      <c r="H133" s="374"/>
      <c r="I133" s="374"/>
      <c r="J133" s="432"/>
      <c r="O133" s="432"/>
      <c r="P133" s="471"/>
    </row>
    <row r="134" spans="3:19" x14ac:dyDescent="0.25">
      <c r="C134" s="374" t="str">
        <f>+'3. Input_Historie'!C103</f>
        <v>Steuerrückstellungen</v>
      </c>
      <c r="D134" s="374"/>
      <c r="F134" s="374"/>
      <c r="G134" s="435">
        <f>+'3. Input_Historie'!G103</f>
        <v>0</v>
      </c>
      <c r="H134" s="435">
        <f>+'3. Input_Historie'!H103</f>
        <v>0</v>
      </c>
      <c r="I134" s="435">
        <f>+'3. Input_Historie'!I103</f>
        <v>0</v>
      </c>
      <c r="J134" s="436">
        <f>+'3. Input_Historie'!J103</f>
        <v>0</v>
      </c>
      <c r="K134" s="706">
        <v>0</v>
      </c>
      <c r="L134" s="706">
        <v>0</v>
      </c>
      <c r="M134" s="706">
        <v>0</v>
      </c>
      <c r="N134" s="706">
        <v>0</v>
      </c>
      <c r="O134" s="707">
        <v>0</v>
      </c>
      <c r="P134" s="476">
        <f ca="1">+OFFSET(J134,,'2. Input_Allgemein'!$E$36)*(1+$V$50)</f>
        <v>0</v>
      </c>
      <c r="R134" s="61"/>
      <c r="S134" s="77"/>
    </row>
    <row r="135" spans="3:19" x14ac:dyDescent="0.25">
      <c r="C135" s="374" t="str">
        <f>+'3. Input_Historie'!C104</f>
        <v>sonstige Rückstellungen</v>
      </c>
      <c r="D135" s="374"/>
      <c r="F135" s="374"/>
      <c r="G135" s="435">
        <f>+'3. Input_Historie'!G104</f>
        <v>0</v>
      </c>
      <c r="H135" s="435">
        <f>+'3. Input_Historie'!H104</f>
        <v>0</v>
      </c>
      <c r="I135" s="435">
        <f>+'3. Input_Historie'!I104</f>
        <v>0</v>
      </c>
      <c r="J135" s="436">
        <f>+'3. Input_Historie'!J104</f>
        <v>0</v>
      </c>
      <c r="K135" s="706">
        <v>0</v>
      </c>
      <c r="L135" s="706">
        <v>0</v>
      </c>
      <c r="M135" s="706">
        <v>0</v>
      </c>
      <c r="N135" s="706">
        <v>0</v>
      </c>
      <c r="O135" s="707">
        <v>0</v>
      </c>
      <c r="P135" s="476">
        <f ca="1">+OFFSET(J135,,'2. Input_Allgemein'!$E$36)*(1+$V$50)</f>
        <v>0</v>
      </c>
      <c r="R135" s="61"/>
      <c r="S135" s="77"/>
    </row>
    <row r="136" spans="3:19" x14ac:dyDescent="0.25">
      <c r="C136" s="374" t="str">
        <f>+'3. Input_Historie'!C105</f>
        <v>[Platzhalter]</v>
      </c>
      <c r="D136" s="374"/>
      <c r="F136" s="374"/>
      <c r="G136" s="435">
        <f>+'3. Input_Historie'!G105</f>
        <v>0</v>
      </c>
      <c r="H136" s="435">
        <f>+'3. Input_Historie'!H105</f>
        <v>0</v>
      </c>
      <c r="I136" s="435">
        <f>+'3. Input_Historie'!I105</f>
        <v>0</v>
      </c>
      <c r="J136" s="436">
        <f>+'3. Input_Historie'!J105</f>
        <v>0</v>
      </c>
      <c r="K136" s="706">
        <v>0</v>
      </c>
      <c r="L136" s="706">
        <v>0</v>
      </c>
      <c r="M136" s="706">
        <v>0</v>
      </c>
      <c r="N136" s="706">
        <v>0</v>
      </c>
      <c r="O136" s="707">
        <v>0</v>
      </c>
      <c r="P136" s="476">
        <f ca="1">+OFFSET(J136,,'2. Input_Allgemein'!$E$36)*(1+$V$50)</f>
        <v>0</v>
      </c>
      <c r="S136" s="77"/>
    </row>
    <row r="137" spans="3:19" x14ac:dyDescent="0.25">
      <c r="C137" s="374" t="str">
        <f>+'3. Input_Historie'!C106</f>
        <v>[Platzhalter]</v>
      </c>
      <c r="D137" s="374"/>
      <c r="F137" s="374"/>
      <c r="G137" s="435">
        <f>+'3. Input_Historie'!G106</f>
        <v>0</v>
      </c>
      <c r="H137" s="435">
        <f>+'3. Input_Historie'!H106</f>
        <v>0</v>
      </c>
      <c r="I137" s="435">
        <f>+'3. Input_Historie'!I106</f>
        <v>0</v>
      </c>
      <c r="J137" s="436">
        <f>+'3. Input_Historie'!J106</f>
        <v>0</v>
      </c>
      <c r="K137" s="706">
        <v>0</v>
      </c>
      <c r="L137" s="706">
        <v>0</v>
      </c>
      <c r="M137" s="706">
        <v>0</v>
      </c>
      <c r="N137" s="706">
        <v>0</v>
      </c>
      <c r="O137" s="707">
        <v>0</v>
      </c>
      <c r="P137" s="476">
        <f ca="1">+OFFSET(J137,,'2. Input_Allgemein'!$E$36)*(1+$V$50)</f>
        <v>0</v>
      </c>
      <c r="S137" s="77"/>
    </row>
    <row r="138" spans="3:19" x14ac:dyDescent="0.25">
      <c r="C138" s="425" t="str">
        <f>+'3. Input_Historie'!C107</f>
        <v>unverzinsliche Rückstellungen</v>
      </c>
      <c r="D138" s="426"/>
      <c r="E138" s="427"/>
      <c r="F138" s="416"/>
      <c r="G138" s="428">
        <f t="shared" ref="G138:O138" si="51">+SUM(G134:G137)</f>
        <v>0</v>
      </c>
      <c r="H138" s="428">
        <f t="shared" si="51"/>
        <v>0</v>
      </c>
      <c r="I138" s="428">
        <f t="shared" si="51"/>
        <v>0</v>
      </c>
      <c r="J138" s="429">
        <f t="shared" si="51"/>
        <v>0</v>
      </c>
      <c r="K138" s="441">
        <f t="shared" si="51"/>
        <v>0</v>
      </c>
      <c r="L138" s="441">
        <f t="shared" si="51"/>
        <v>0</v>
      </c>
      <c r="M138" s="441">
        <f t="shared" si="51"/>
        <v>0</v>
      </c>
      <c r="N138" s="441">
        <f t="shared" si="51"/>
        <v>0</v>
      </c>
      <c r="O138" s="442">
        <f t="shared" si="51"/>
        <v>0</v>
      </c>
      <c r="P138" s="443">
        <f ca="1">+SUM(P134:P137)</f>
        <v>0</v>
      </c>
      <c r="S138" s="77"/>
    </row>
    <row r="139" spans="3:19" x14ac:dyDescent="0.25">
      <c r="C139" s="374"/>
      <c r="D139" s="374"/>
      <c r="F139" s="374"/>
      <c r="G139" s="374"/>
      <c r="H139" s="374"/>
      <c r="I139" s="374"/>
      <c r="J139" s="432"/>
      <c r="O139" s="432"/>
      <c r="P139" s="471"/>
    </row>
    <row r="140" spans="3:19" x14ac:dyDescent="0.25">
      <c r="C140" s="374" t="str">
        <f>+'3. Input_Historie'!C109</f>
        <v>Pensionsrückstellungen</v>
      </c>
      <c r="D140" s="374"/>
      <c r="F140" s="374"/>
      <c r="G140" s="435">
        <f>+'3. Input_Historie'!G109</f>
        <v>0</v>
      </c>
      <c r="H140" s="435">
        <f>+'3. Input_Historie'!H109</f>
        <v>0</v>
      </c>
      <c r="I140" s="435">
        <f>+'3. Input_Historie'!I109</f>
        <v>0</v>
      </c>
      <c r="J140" s="436">
        <f>+'3. Input_Historie'!J109</f>
        <v>0</v>
      </c>
      <c r="K140" s="706">
        <v>0</v>
      </c>
      <c r="L140" s="706">
        <v>0</v>
      </c>
      <c r="M140" s="706">
        <v>0</v>
      </c>
      <c r="N140" s="706">
        <v>0</v>
      </c>
      <c r="O140" s="707">
        <v>0</v>
      </c>
      <c r="P140" s="476">
        <f ca="1">+OFFSET(J140,,'2. Input_Allgemein'!$E$36)*(1+$V$50)</f>
        <v>0</v>
      </c>
      <c r="S140" s="77"/>
    </row>
    <row r="141" spans="3:19" x14ac:dyDescent="0.25">
      <c r="C141" s="374" t="str">
        <f>+'3. Input_Historie'!C110</f>
        <v>[Platzhalter]</v>
      </c>
      <c r="D141" s="374"/>
      <c r="F141" s="374"/>
      <c r="G141" s="435">
        <f>+'3. Input_Historie'!G110</f>
        <v>0</v>
      </c>
      <c r="H141" s="435">
        <f>+'3. Input_Historie'!H110</f>
        <v>0</v>
      </c>
      <c r="I141" s="435">
        <f>+'3. Input_Historie'!I110</f>
        <v>0</v>
      </c>
      <c r="J141" s="436">
        <f>+'3. Input_Historie'!J110</f>
        <v>0</v>
      </c>
      <c r="K141" s="706">
        <v>0</v>
      </c>
      <c r="L141" s="706">
        <v>0</v>
      </c>
      <c r="M141" s="706">
        <v>0</v>
      </c>
      <c r="N141" s="706">
        <v>0</v>
      </c>
      <c r="O141" s="707">
        <v>0</v>
      </c>
      <c r="P141" s="476">
        <f ca="1">+OFFSET(J141,,'2. Input_Allgemein'!$E$36)*(1+$V$50)</f>
        <v>0</v>
      </c>
      <c r="S141" s="77"/>
    </row>
    <row r="142" spans="3:19" x14ac:dyDescent="0.25">
      <c r="C142" s="374" t="str">
        <f>+'3. Input_Historie'!C111</f>
        <v>[Platzhalter]</v>
      </c>
      <c r="D142" s="374"/>
      <c r="F142" s="374"/>
      <c r="G142" s="435">
        <f>+'3. Input_Historie'!G111</f>
        <v>0</v>
      </c>
      <c r="H142" s="435">
        <f>+'3. Input_Historie'!H111</f>
        <v>0</v>
      </c>
      <c r="I142" s="435">
        <f>+'3. Input_Historie'!I111</f>
        <v>0</v>
      </c>
      <c r="J142" s="436">
        <f>+'3. Input_Historie'!J111</f>
        <v>0</v>
      </c>
      <c r="K142" s="706">
        <v>0</v>
      </c>
      <c r="L142" s="706">
        <v>0</v>
      </c>
      <c r="M142" s="706">
        <v>0</v>
      </c>
      <c r="N142" s="706">
        <v>0</v>
      </c>
      <c r="O142" s="707">
        <v>0</v>
      </c>
      <c r="P142" s="476">
        <f ca="1">+OFFSET(J142,,'2. Input_Allgemein'!$E$36)*(1+$V$50)</f>
        <v>0</v>
      </c>
      <c r="S142" s="77"/>
    </row>
    <row r="143" spans="3:19" x14ac:dyDescent="0.25">
      <c r="C143" s="425" t="str">
        <f>+'3. Input_Historie'!C112</f>
        <v>verzinsliche Rückstellungen</v>
      </c>
      <c r="D143" s="426"/>
      <c r="E143" s="427"/>
      <c r="F143" s="467"/>
      <c r="G143" s="428">
        <f t="shared" ref="G143:O143" si="52">+SUM(G140:G142)</f>
        <v>0</v>
      </c>
      <c r="H143" s="428">
        <f t="shared" si="52"/>
        <v>0</v>
      </c>
      <c r="I143" s="428">
        <f t="shared" si="52"/>
        <v>0</v>
      </c>
      <c r="J143" s="429">
        <f t="shared" si="52"/>
        <v>0</v>
      </c>
      <c r="K143" s="441">
        <f t="shared" si="52"/>
        <v>0</v>
      </c>
      <c r="L143" s="441">
        <f t="shared" si="52"/>
        <v>0</v>
      </c>
      <c r="M143" s="441">
        <f t="shared" si="52"/>
        <v>0</v>
      </c>
      <c r="N143" s="441">
        <f t="shared" si="52"/>
        <v>0</v>
      </c>
      <c r="O143" s="442">
        <f t="shared" si="52"/>
        <v>0</v>
      </c>
      <c r="P143" s="443">
        <f ca="1">+SUM(P140:P142)</f>
        <v>0</v>
      </c>
      <c r="S143" s="77"/>
    </row>
    <row r="144" spans="3:19" x14ac:dyDescent="0.25">
      <c r="C144" s="374"/>
      <c r="D144" s="374"/>
      <c r="F144" s="374"/>
      <c r="G144" s="374"/>
      <c r="H144" s="374"/>
      <c r="I144" s="374"/>
      <c r="J144" s="432"/>
      <c r="O144" s="432"/>
      <c r="P144" s="471"/>
    </row>
    <row r="145" spans="3:20" x14ac:dyDescent="0.25">
      <c r="C145" s="374" t="str">
        <f>+'3. Input_Historie'!C114</f>
        <v>Verbindlichkeiten aus Lieferungen und Leistungen</v>
      </c>
      <c r="D145" s="374"/>
      <c r="F145" s="374"/>
      <c r="G145" s="435">
        <f>+'3. Input_Historie'!G114</f>
        <v>69.5</v>
      </c>
      <c r="H145" s="435">
        <f>+'3. Input_Historie'!H114</f>
        <v>69.5</v>
      </c>
      <c r="I145" s="435">
        <f>+'3. Input_Historie'!I114</f>
        <v>94.000000000000014</v>
      </c>
      <c r="J145" s="436">
        <f>+'3. Input_Historie'!J114</f>
        <v>97.000000000000014</v>
      </c>
      <c r="K145" s="706">
        <f>+J145*1.05</f>
        <v>101.85000000000002</v>
      </c>
      <c r="L145" s="706">
        <f t="shared" ref="L145:O145" si="53">+K145*1.05</f>
        <v>106.94250000000002</v>
      </c>
      <c r="M145" s="706">
        <f t="shared" si="53"/>
        <v>112.28962500000003</v>
      </c>
      <c r="N145" s="706">
        <f t="shared" si="53"/>
        <v>117.90410625000004</v>
      </c>
      <c r="O145" s="707">
        <f t="shared" si="53"/>
        <v>123.79931156250005</v>
      </c>
      <c r="P145" s="476">
        <f ca="1">+OFFSET(J145,,'2. Input_Allgemein'!$E$36)*(1+$V$50)</f>
        <v>125.65630123593753</v>
      </c>
      <c r="S145" s="77"/>
    </row>
    <row r="146" spans="3:20" x14ac:dyDescent="0.25">
      <c r="C146" s="374" t="str">
        <f>+'3. Input_Historie'!C115</f>
        <v xml:space="preserve">sonstige kurzfristige Verbindlichkeiten </v>
      </c>
      <c r="D146" s="374"/>
      <c r="F146" s="374"/>
      <c r="G146" s="435">
        <f>+'3. Input_Historie'!G115</f>
        <v>23.166666666666671</v>
      </c>
      <c r="H146" s="435">
        <f>+'3. Input_Historie'!H115</f>
        <v>23.166666666666671</v>
      </c>
      <c r="I146" s="435">
        <f>+'3. Input_Historie'!I115</f>
        <v>31.333333333333339</v>
      </c>
      <c r="J146" s="436">
        <f>+'3. Input_Historie'!J115</f>
        <v>32.333333333333336</v>
      </c>
      <c r="K146" s="706">
        <f t="shared" ref="K146:O146" si="54">+J146*1.05</f>
        <v>33.950000000000003</v>
      </c>
      <c r="L146" s="706">
        <f t="shared" si="54"/>
        <v>35.647500000000008</v>
      </c>
      <c r="M146" s="706">
        <f t="shared" si="54"/>
        <v>37.42987500000001</v>
      </c>
      <c r="N146" s="706">
        <f t="shared" si="54"/>
        <v>39.301368750000009</v>
      </c>
      <c r="O146" s="707">
        <f t="shared" si="54"/>
        <v>41.26643718750001</v>
      </c>
      <c r="P146" s="476">
        <f ca="1">+OFFSET(J146,,'2. Input_Allgemein'!$E$36)*(1+$V$50)</f>
        <v>41.885433745312504</v>
      </c>
      <c r="S146" s="77"/>
    </row>
    <row r="147" spans="3:20" x14ac:dyDescent="0.25">
      <c r="C147" s="374" t="str">
        <f>+'3. Input_Historie'!C116</f>
        <v>[Platzhalter]</v>
      </c>
      <c r="D147" s="374"/>
      <c r="F147" s="374"/>
      <c r="G147" s="435">
        <f>+'3. Input_Historie'!G116</f>
        <v>0</v>
      </c>
      <c r="H147" s="435">
        <f>+'3. Input_Historie'!H116</f>
        <v>0</v>
      </c>
      <c r="I147" s="435">
        <f>+'3. Input_Historie'!I116</f>
        <v>0</v>
      </c>
      <c r="J147" s="436">
        <f>+'3. Input_Historie'!J116</f>
        <v>0</v>
      </c>
      <c r="K147" s="706">
        <v>0</v>
      </c>
      <c r="L147" s="706">
        <v>0</v>
      </c>
      <c r="M147" s="706">
        <v>0</v>
      </c>
      <c r="N147" s="706">
        <v>0</v>
      </c>
      <c r="O147" s="707">
        <v>0</v>
      </c>
      <c r="P147" s="476">
        <f ca="1">+OFFSET(J147,,'2. Input_Allgemein'!$E$36)*(1+$V$50)</f>
        <v>0</v>
      </c>
      <c r="S147" s="77"/>
    </row>
    <row r="148" spans="3:20" x14ac:dyDescent="0.25">
      <c r="C148" s="425" t="str">
        <f>+'3. Input_Historie'!C117</f>
        <v>unverzinsliche Verbindlichkeiten</v>
      </c>
      <c r="D148" s="426"/>
      <c r="E148" s="427"/>
      <c r="F148" s="467"/>
      <c r="G148" s="428">
        <f t="shared" ref="G148:O148" si="55">+SUM(G145:G147)</f>
        <v>92.666666666666671</v>
      </c>
      <c r="H148" s="428">
        <f t="shared" si="55"/>
        <v>92.666666666666671</v>
      </c>
      <c r="I148" s="428">
        <f t="shared" si="55"/>
        <v>125.33333333333336</v>
      </c>
      <c r="J148" s="429">
        <f t="shared" si="55"/>
        <v>129.33333333333334</v>
      </c>
      <c r="K148" s="441">
        <f t="shared" si="55"/>
        <v>135.80000000000001</v>
      </c>
      <c r="L148" s="441">
        <f t="shared" si="55"/>
        <v>142.59000000000003</v>
      </c>
      <c r="M148" s="441">
        <f t="shared" si="55"/>
        <v>149.71950000000004</v>
      </c>
      <c r="N148" s="441">
        <f t="shared" si="55"/>
        <v>157.20547500000004</v>
      </c>
      <c r="O148" s="442">
        <f t="shared" si="55"/>
        <v>165.06574875000007</v>
      </c>
      <c r="P148" s="443">
        <f ca="1">+SUM(P145:P147)</f>
        <v>167.54173498125004</v>
      </c>
      <c r="Q148" s="374"/>
      <c r="S148" s="77"/>
    </row>
    <row r="149" spans="3:20" x14ac:dyDescent="0.25">
      <c r="C149" s="374"/>
      <c r="D149" s="374"/>
      <c r="F149" s="374"/>
      <c r="G149" s="374"/>
      <c r="H149" s="374"/>
      <c r="I149" s="374"/>
      <c r="J149" s="432"/>
      <c r="O149" s="432"/>
      <c r="P149" s="471"/>
      <c r="Q149" s="374"/>
      <c r="S149" s="77"/>
    </row>
    <row r="150" spans="3:20" x14ac:dyDescent="0.25">
      <c r="C150" s="374" t="str">
        <f>+'3. Input_Historie'!C119</f>
        <v>Verbinidlichkeiten gegenüber Kreditinstitute</v>
      </c>
      <c r="D150" s="374"/>
      <c r="F150" s="374"/>
      <c r="G150" s="435">
        <f>+'3. Input_Historie'!G119</f>
        <v>100</v>
      </c>
      <c r="H150" s="435">
        <f>+'3. Input_Historie'!H119</f>
        <v>100</v>
      </c>
      <c r="I150" s="435">
        <f>+'3. Input_Historie'!I119</f>
        <v>100</v>
      </c>
      <c r="J150" s="436">
        <f>+'3. Input_Historie'!J119</f>
        <v>100</v>
      </c>
      <c r="K150" s="706">
        <v>200</v>
      </c>
      <c r="L150" s="706">
        <v>200</v>
      </c>
      <c r="M150" s="706">
        <v>200</v>
      </c>
      <c r="N150" s="706">
        <v>200</v>
      </c>
      <c r="O150" s="706">
        <v>200</v>
      </c>
      <c r="P150" s="476">
        <f ca="1">+OFFSET(J150,,'2. Input_Allgemein'!$E$36)*(1+$V$50)</f>
        <v>202.99999999999997</v>
      </c>
      <c r="S150" s="77"/>
    </row>
    <row r="151" spans="3:20" x14ac:dyDescent="0.25">
      <c r="C151" s="374" t="str">
        <f>+'3. Input_Historie'!C120</f>
        <v>Verbindlichkeiten gegenüber Gesellschafter</v>
      </c>
      <c r="D151" s="374"/>
      <c r="F151" s="374"/>
      <c r="G151" s="435">
        <f>+'3. Input_Historie'!G120</f>
        <v>0</v>
      </c>
      <c r="H151" s="435">
        <f>+'3. Input_Historie'!H120</f>
        <v>0</v>
      </c>
      <c r="I151" s="435">
        <f>+'3. Input_Historie'!I120</f>
        <v>0</v>
      </c>
      <c r="J151" s="436">
        <f>+'3. Input_Historie'!J120</f>
        <v>0</v>
      </c>
      <c r="K151" s="706">
        <v>0</v>
      </c>
      <c r="L151" s="706">
        <v>0</v>
      </c>
      <c r="M151" s="706">
        <v>0</v>
      </c>
      <c r="N151" s="706">
        <v>0</v>
      </c>
      <c r="O151" s="707">
        <v>0</v>
      </c>
      <c r="P151" s="476">
        <f ca="1">+OFFSET(J151,,'2. Input_Allgemein'!$E$36)*(1+$V$50)</f>
        <v>0</v>
      </c>
      <c r="S151" s="77"/>
    </row>
    <row r="152" spans="3:20" x14ac:dyDescent="0.25">
      <c r="C152" s="374" t="str">
        <f>+'3. Input_Historie'!C121</f>
        <v>[Platzhalter]</v>
      </c>
      <c r="D152" s="374"/>
      <c r="F152" s="374"/>
      <c r="G152" s="435">
        <f>+'3. Input_Historie'!G121</f>
        <v>0</v>
      </c>
      <c r="H152" s="435">
        <f>+'3. Input_Historie'!H121</f>
        <v>0</v>
      </c>
      <c r="I152" s="435">
        <f>+'3. Input_Historie'!I121</f>
        <v>0</v>
      </c>
      <c r="J152" s="436">
        <f>+'3. Input_Historie'!J121</f>
        <v>0</v>
      </c>
      <c r="K152" s="706">
        <v>0</v>
      </c>
      <c r="L152" s="706">
        <v>0</v>
      </c>
      <c r="M152" s="706">
        <v>0</v>
      </c>
      <c r="N152" s="706">
        <v>0</v>
      </c>
      <c r="O152" s="707">
        <v>0</v>
      </c>
      <c r="P152" s="476">
        <f ca="1">+OFFSET(J152,,'2. Input_Allgemein'!$E$36)*(1+$V$50)</f>
        <v>0</v>
      </c>
      <c r="S152" s="77"/>
    </row>
    <row r="153" spans="3:20" x14ac:dyDescent="0.25">
      <c r="C153" s="374" t="str">
        <f>+'3. Input_Historie'!C122</f>
        <v>[Platzhalter]</v>
      </c>
      <c r="D153" s="374"/>
      <c r="F153" s="374"/>
      <c r="G153" s="435">
        <f>+'3. Input_Historie'!G122</f>
        <v>0</v>
      </c>
      <c r="H153" s="435">
        <f>+'3. Input_Historie'!H122</f>
        <v>0</v>
      </c>
      <c r="I153" s="435">
        <f>+'3. Input_Historie'!I122</f>
        <v>0</v>
      </c>
      <c r="J153" s="436">
        <f>+'3. Input_Historie'!J122</f>
        <v>0</v>
      </c>
      <c r="K153" s="706">
        <v>0</v>
      </c>
      <c r="L153" s="706">
        <v>0</v>
      </c>
      <c r="M153" s="706">
        <v>0</v>
      </c>
      <c r="N153" s="706">
        <v>0</v>
      </c>
      <c r="O153" s="707">
        <v>0</v>
      </c>
      <c r="P153" s="476">
        <f ca="1">+OFFSET(J153,,'2. Input_Allgemein'!$E$36)*(1+$V$50)</f>
        <v>0</v>
      </c>
      <c r="S153" s="77"/>
    </row>
    <row r="154" spans="3:20" x14ac:dyDescent="0.25">
      <c r="C154" s="425" t="str">
        <f>+'3. Input_Historie'!C123</f>
        <v>verzinsliche Verbindlichkeiten</v>
      </c>
      <c r="D154" s="426"/>
      <c r="E154" s="427"/>
      <c r="F154" s="467"/>
      <c r="G154" s="428">
        <f t="shared" ref="G154:O154" si="56">+SUM(G150:G153)</f>
        <v>100</v>
      </c>
      <c r="H154" s="428">
        <f t="shared" si="56"/>
        <v>100</v>
      </c>
      <c r="I154" s="428">
        <f t="shared" si="56"/>
        <v>100</v>
      </c>
      <c r="J154" s="429">
        <f t="shared" si="56"/>
        <v>100</v>
      </c>
      <c r="K154" s="441">
        <f t="shared" si="56"/>
        <v>200</v>
      </c>
      <c r="L154" s="441">
        <f t="shared" si="56"/>
        <v>200</v>
      </c>
      <c r="M154" s="441">
        <f t="shared" si="56"/>
        <v>200</v>
      </c>
      <c r="N154" s="441">
        <f t="shared" si="56"/>
        <v>200</v>
      </c>
      <c r="O154" s="442">
        <f t="shared" si="56"/>
        <v>200</v>
      </c>
      <c r="P154" s="443">
        <f ca="1">+SUM(P150:P153)</f>
        <v>202.99999999999997</v>
      </c>
      <c r="Q154" s="374"/>
      <c r="R154" s="475"/>
      <c r="S154" s="241"/>
      <c r="T154" s="241"/>
    </row>
    <row r="155" spans="3:20" x14ac:dyDescent="0.25">
      <c r="C155" s="374"/>
      <c r="D155" s="374"/>
      <c r="F155" s="374"/>
      <c r="G155" s="374"/>
      <c r="H155" s="374"/>
      <c r="I155" s="374"/>
      <c r="J155" s="432"/>
      <c r="O155" s="432"/>
      <c r="P155" s="471"/>
      <c r="Q155" s="374"/>
      <c r="R155" s="374"/>
      <c r="S155" s="77"/>
    </row>
    <row r="156" spans="3:20" x14ac:dyDescent="0.25">
      <c r="C156" s="374" t="str">
        <f>+'3. Input_Historie'!C125</f>
        <v>Negativer Finanzierungssaldo</v>
      </c>
      <c r="D156" s="374"/>
      <c r="F156" s="374"/>
      <c r="G156" s="465"/>
      <c r="H156" s="465"/>
      <c r="I156" s="465"/>
      <c r="J156" s="466"/>
      <c r="K156" s="468">
        <f t="shared" ref="K156:P156" ca="1" si="57">+IF(K266&lt;0,-K266,0)</f>
        <v>384.86428571428587</v>
      </c>
      <c r="L156" s="468">
        <f t="shared" ca="1" si="57"/>
        <v>384.86428571428587</v>
      </c>
      <c r="M156" s="468">
        <f t="shared" ca="1" si="57"/>
        <v>384.86428571428587</v>
      </c>
      <c r="N156" s="468">
        <f t="shared" ca="1" si="57"/>
        <v>384.86428571428593</v>
      </c>
      <c r="O156" s="469">
        <f t="shared" ca="1" si="57"/>
        <v>384.86428571428604</v>
      </c>
      <c r="P156" s="470">
        <f t="shared" ca="1" si="57"/>
        <v>395.08426850334848</v>
      </c>
      <c r="Q156" s="374"/>
      <c r="R156" s="374"/>
      <c r="S156" s="77"/>
    </row>
    <row r="157" spans="3:20" x14ac:dyDescent="0.25">
      <c r="C157" s="374"/>
      <c r="D157" s="374"/>
      <c r="F157" s="374"/>
      <c r="G157" s="374"/>
      <c r="H157" s="374"/>
      <c r="I157" s="374"/>
      <c r="J157" s="432"/>
      <c r="O157" s="432"/>
      <c r="P157" s="471"/>
      <c r="Q157" s="374"/>
      <c r="R157" s="374"/>
      <c r="S157" s="77"/>
    </row>
    <row r="158" spans="3:20" x14ac:dyDescent="0.25">
      <c r="C158" s="425" t="s">
        <v>176</v>
      </c>
      <c r="D158" s="426"/>
      <c r="E158" s="427"/>
      <c r="F158" s="427"/>
      <c r="G158" s="428">
        <f t="shared" ref="G158:J158" si="58">+G132+G138+G143+G148+G154+G156</f>
        <v>274.46666666666664</v>
      </c>
      <c r="H158" s="428">
        <f t="shared" si="58"/>
        <v>376.26666666666659</v>
      </c>
      <c r="I158" s="428">
        <f t="shared" si="58"/>
        <v>564.5333333333333</v>
      </c>
      <c r="J158" s="429">
        <f t="shared" si="58"/>
        <v>731.33333333333337</v>
      </c>
      <c r="K158" s="441">
        <f t="shared" ref="K158:P158" ca="1" si="59">+K132+K138+K143+K148+K154+K156</f>
        <v>1222.6642857142858</v>
      </c>
      <c r="L158" s="441">
        <f t="shared" ca="1" si="59"/>
        <v>1286.4760714285717</v>
      </c>
      <c r="M158" s="441">
        <f t="shared" ca="1" si="59"/>
        <v>1336.7927321428574</v>
      </c>
      <c r="N158" s="441">
        <f t="shared" ca="1" si="59"/>
        <v>1372.939511607143</v>
      </c>
      <c r="O158" s="442">
        <f t="shared" ca="1" si="59"/>
        <v>1394.2079157589289</v>
      </c>
      <c r="P158" s="443">
        <f t="shared" ca="1" si="59"/>
        <v>1412.9626592247773</v>
      </c>
      <c r="Q158" s="374"/>
      <c r="R158" s="394"/>
      <c r="S158" s="77"/>
    </row>
    <row r="159" spans="3:20" x14ac:dyDescent="0.25">
      <c r="C159" s="374"/>
      <c r="D159" s="374"/>
      <c r="F159" s="374"/>
      <c r="G159" s="374"/>
      <c r="H159" s="374"/>
      <c r="I159" s="374"/>
      <c r="J159" s="374"/>
      <c r="P159" s="374"/>
      <c r="Q159" s="374"/>
      <c r="R159" s="374"/>
    </row>
    <row r="160" spans="3:20" x14ac:dyDescent="0.25">
      <c r="C160" s="374"/>
      <c r="D160" s="374"/>
      <c r="F160" s="374"/>
      <c r="G160" s="472">
        <f>+G158-G121</f>
        <v>0</v>
      </c>
      <c r="H160" s="472">
        <f t="shared" ref="H160:J160" si="60">+H158-H121</f>
        <v>0</v>
      </c>
      <c r="I160" s="472">
        <f t="shared" si="60"/>
        <v>0</v>
      </c>
      <c r="J160" s="472">
        <f t="shared" si="60"/>
        <v>0</v>
      </c>
      <c r="K160" s="472">
        <f t="shared" ref="K160:P160" ca="1" si="61">+K158-K121</f>
        <v>0</v>
      </c>
      <c r="L160" s="472">
        <f t="shared" ca="1" si="61"/>
        <v>0</v>
      </c>
      <c r="M160" s="472">
        <f t="shared" ca="1" si="61"/>
        <v>0</v>
      </c>
      <c r="N160" s="472">
        <f t="shared" ca="1" si="61"/>
        <v>0</v>
      </c>
      <c r="O160" s="472">
        <f t="shared" ca="1" si="61"/>
        <v>0</v>
      </c>
      <c r="P160" s="472">
        <f t="shared" ca="1" si="61"/>
        <v>0</v>
      </c>
      <c r="Q160" s="374"/>
      <c r="R160" s="374"/>
    </row>
    <row r="161" spans="1:18" x14ac:dyDescent="0.25">
      <c r="C161" s="473" t="s">
        <v>172</v>
      </c>
      <c r="D161" s="374"/>
      <c r="F161" s="374"/>
      <c r="G161" s="474" t="str">
        <f>IF(ABS(G160)&gt;0.1,"CHECK","OK")</f>
        <v>OK</v>
      </c>
      <c r="H161" s="474" t="str">
        <f t="shared" ref="H161:J161" si="62">IF(ABS(H160)&gt;0.1,"CHECK","OK")</f>
        <v>OK</v>
      </c>
      <c r="I161" s="474" t="str">
        <f t="shared" si="62"/>
        <v>OK</v>
      </c>
      <c r="J161" s="474" t="str">
        <f t="shared" si="62"/>
        <v>OK</v>
      </c>
      <c r="K161" s="474" t="str">
        <f t="shared" ref="K161:P161" ca="1" si="63">IF(ABS(K160)&gt;0.1,"CHECK","OK")</f>
        <v>OK</v>
      </c>
      <c r="L161" s="474" t="str">
        <f t="shared" ca="1" si="63"/>
        <v>OK</v>
      </c>
      <c r="M161" s="474" t="str">
        <f t="shared" ca="1" si="63"/>
        <v>OK</v>
      </c>
      <c r="N161" s="474" t="str">
        <f t="shared" ca="1" si="63"/>
        <v>OK</v>
      </c>
      <c r="O161" s="474" t="str">
        <f t="shared" ca="1" si="63"/>
        <v>OK</v>
      </c>
      <c r="P161" s="474" t="str">
        <f t="shared" ca="1" si="63"/>
        <v>OK</v>
      </c>
      <c r="Q161" s="374"/>
      <c r="R161" s="374"/>
    </row>
    <row r="162" spans="1:18" x14ac:dyDescent="0.25">
      <c r="C162" s="374"/>
      <c r="D162" s="374"/>
      <c r="F162" s="374"/>
      <c r="G162" s="374"/>
      <c r="H162" s="374"/>
      <c r="I162" s="374"/>
      <c r="J162" s="374"/>
      <c r="P162" s="374"/>
      <c r="Q162" s="374"/>
      <c r="R162" s="374"/>
    </row>
    <row r="163" spans="1:18" x14ac:dyDescent="0.25">
      <c r="E163" s="394"/>
      <c r="L163" s="394"/>
      <c r="R163" s="61"/>
    </row>
    <row r="164" spans="1:18" ht="22.5" hidden="1" outlineLevel="1" x14ac:dyDescent="0.35">
      <c r="A164" s="5" t="s">
        <v>137</v>
      </c>
      <c r="C164" s="5"/>
      <c r="J164" s="61"/>
      <c r="N164" s="394"/>
    </row>
    <row r="165" spans="1:18" ht="15" hidden="1" customHeight="1" outlineLevel="1" x14ac:dyDescent="0.35">
      <c r="C165" s="5"/>
      <c r="G165" s="9"/>
      <c r="H165" s="9"/>
      <c r="I165" s="9"/>
      <c r="J165" s="20" t="s">
        <v>38</v>
      </c>
      <c r="K165" s="708" t="s">
        <v>39</v>
      </c>
      <c r="L165" s="708"/>
      <c r="M165" s="708"/>
      <c r="N165" s="708"/>
      <c r="O165" s="708"/>
      <c r="P165" s="73" t="s">
        <v>104</v>
      </c>
    </row>
    <row r="166" spans="1:18" ht="15" hidden="1" customHeight="1" outlineLevel="1" x14ac:dyDescent="0.35">
      <c r="C166" s="5"/>
      <c r="G166" s="13">
        <f t="shared" ref="G166:O166" ca="1" si="64">+G99</f>
        <v>2023</v>
      </c>
      <c r="H166" s="13">
        <f t="shared" ca="1" si="64"/>
        <v>2024</v>
      </c>
      <c r="I166" s="13">
        <f t="shared" ca="1" si="64"/>
        <v>2025</v>
      </c>
      <c r="J166" s="21">
        <f t="shared" ca="1" si="64"/>
        <v>2026</v>
      </c>
      <c r="K166" s="709">
        <f t="shared" ca="1" si="64"/>
        <v>2027</v>
      </c>
      <c r="L166" s="710">
        <f t="shared" ca="1" si="64"/>
        <v>2028</v>
      </c>
      <c r="M166" s="710">
        <f t="shared" ca="1" si="64"/>
        <v>2029</v>
      </c>
      <c r="N166" s="710">
        <f t="shared" ca="1" si="64"/>
        <v>2030</v>
      </c>
      <c r="O166" s="711">
        <f t="shared" ca="1" si="64"/>
        <v>2031</v>
      </c>
      <c r="P166" s="233">
        <f ca="1">+OFFSET(J166,,'2. Input_Allgemein'!$E$36)+1</f>
        <v>2032</v>
      </c>
    </row>
    <row r="167" spans="1:18" hidden="1" outlineLevel="1" x14ac:dyDescent="0.25">
      <c r="C167" s="67" t="s">
        <v>94</v>
      </c>
      <c r="G167" s="25">
        <f t="shared" ref="G167:J167" si="65">+G93</f>
        <v>106.79999999999995</v>
      </c>
      <c r="H167" s="25">
        <f t="shared" si="65"/>
        <v>101.79999999999995</v>
      </c>
      <c r="I167" s="25">
        <f t="shared" si="65"/>
        <v>155.60000000000002</v>
      </c>
      <c r="J167" s="25">
        <f t="shared" si="65"/>
        <v>162.8000000000001</v>
      </c>
      <c r="K167" s="712">
        <f t="shared" ref="K167:P167" ca="1" si="66">+K93</f>
        <v>130.98617949999999</v>
      </c>
      <c r="L167" s="712">
        <f t="shared" ca="1" si="66"/>
        <v>117.77063136500007</v>
      </c>
      <c r="M167" s="712">
        <f t="shared" ca="1" si="66"/>
        <v>122.37416289130007</v>
      </c>
      <c r="N167" s="712">
        <f t="shared" ca="1" si="66"/>
        <v>127.38218325874109</v>
      </c>
      <c r="O167" s="712">
        <f t="shared" ca="1" si="66"/>
        <v>132.81821336915215</v>
      </c>
      <c r="P167" s="25">
        <f t="shared" ca="1" si="66"/>
        <v>136.86818358829404</v>
      </c>
    </row>
    <row r="168" spans="1:18" hidden="1" outlineLevel="1" x14ac:dyDescent="0.25">
      <c r="C168" s="70" t="s">
        <v>263</v>
      </c>
      <c r="G168" s="25">
        <f t="shared" ref="G168:J168" si="67">-G72</f>
        <v>30</v>
      </c>
      <c r="H168" s="25">
        <f t="shared" si="67"/>
        <v>30</v>
      </c>
      <c r="I168" s="25">
        <f t="shared" si="67"/>
        <v>30</v>
      </c>
      <c r="J168" s="25">
        <f t="shared" si="67"/>
        <v>30</v>
      </c>
      <c r="K168" s="712">
        <f t="shared" ref="K168:P168" ca="1" si="68">-K72</f>
        <v>73.685714285714283</v>
      </c>
      <c r="L168" s="712">
        <f t="shared" ca="1" si="68"/>
        <v>94.055714285714288</v>
      </c>
      <c r="M168" s="712">
        <f t="shared" ca="1" si="68"/>
        <v>115.4442142857143</v>
      </c>
      <c r="N168" s="712">
        <f t="shared" ca="1" si="68"/>
        <v>137.9021392857143</v>
      </c>
      <c r="O168" s="712">
        <f t="shared" ca="1" si="68"/>
        <v>161.48296053571431</v>
      </c>
      <c r="P168" s="25">
        <f t="shared" ca="1" si="68"/>
        <v>161.48296053571431</v>
      </c>
    </row>
    <row r="169" spans="1:18" hidden="1" outlineLevel="1" x14ac:dyDescent="0.25">
      <c r="C169" s="70" t="s">
        <v>182</v>
      </c>
      <c r="G169" s="25">
        <f t="shared" ref="G169:O169" si="69">+G148-F148+G138-F138+F115-G115</f>
        <v>-115.83333333333336</v>
      </c>
      <c r="H169" s="25">
        <f t="shared" si="69"/>
        <v>0</v>
      </c>
      <c r="I169" s="25">
        <f t="shared" si="69"/>
        <v>-40.833333333333343</v>
      </c>
      <c r="J169" s="25">
        <f t="shared" si="69"/>
        <v>-4.9999999999999432</v>
      </c>
      <c r="K169" s="712">
        <f t="shared" si="69"/>
        <v>-8.0833333333333712</v>
      </c>
      <c r="L169" s="712">
        <f t="shared" si="69"/>
        <v>-8.4875000000000114</v>
      </c>
      <c r="M169" s="712">
        <f t="shared" si="69"/>
        <v>-8.9118750000000091</v>
      </c>
      <c r="N169" s="712">
        <f t="shared" si="69"/>
        <v>-9.3574687500000095</v>
      </c>
      <c r="O169" s="712">
        <f t="shared" si="69"/>
        <v>-9.8253421874999276</v>
      </c>
      <c r="P169" s="25">
        <f ca="1">(+P148-OFFSET(J148,,'2. Input_Allgemein'!$E$36)+P138-OFFSET(J138,,'2. Input_Allgemein'!$E$36)+OFFSET(J115,,'2. Input_Allgemein'!$E$36)-P115)+0+P216</f>
        <v>0</v>
      </c>
    </row>
    <row r="170" spans="1:18" hidden="1" outlineLevel="1" x14ac:dyDescent="0.25">
      <c r="C170" s="15" t="s">
        <v>180</v>
      </c>
      <c r="D170" s="16"/>
      <c r="E170" s="427"/>
      <c r="F170" s="17"/>
      <c r="G170" s="27">
        <f t="shared" ref="G170:P170" si="70">+SUM(G167:G169)</f>
        <v>20.966666666666598</v>
      </c>
      <c r="H170" s="27">
        <f t="shared" si="70"/>
        <v>131.79999999999995</v>
      </c>
      <c r="I170" s="27">
        <f t="shared" si="70"/>
        <v>144.76666666666668</v>
      </c>
      <c r="J170" s="27">
        <f t="shared" si="70"/>
        <v>187.80000000000015</v>
      </c>
      <c r="K170" s="713">
        <f t="shared" ca="1" si="70"/>
        <v>196.5885604523809</v>
      </c>
      <c r="L170" s="713">
        <f t="shared" ca="1" si="70"/>
        <v>203.33884565071435</v>
      </c>
      <c r="M170" s="713">
        <f t="shared" ca="1" si="70"/>
        <v>228.90650217701437</v>
      </c>
      <c r="N170" s="713">
        <f t="shared" ca="1" si="70"/>
        <v>255.92685379445538</v>
      </c>
      <c r="O170" s="713">
        <f t="shared" ca="1" si="70"/>
        <v>284.47583171736653</v>
      </c>
      <c r="P170" s="27">
        <f t="shared" ca="1" si="70"/>
        <v>298.35114412400833</v>
      </c>
    </row>
    <row r="171" spans="1:18" hidden="1" outlineLevel="1" x14ac:dyDescent="0.25"/>
    <row r="172" spans="1:18" hidden="1" outlineLevel="1" x14ac:dyDescent="0.25">
      <c r="C172" s="67" t="s">
        <v>85</v>
      </c>
      <c r="G172" s="25">
        <f t="shared" ref="G172:O172" si="71">-G101</f>
        <v>0</v>
      </c>
      <c r="H172" s="25">
        <f t="shared" si="71"/>
        <v>-50</v>
      </c>
      <c r="I172" s="25">
        <f t="shared" si="71"/>
        <v>-50</v>
      </c>
      <c r="J172" s="25">
        <f t="shared" si="71"/>
        <v>-50</v>
      </c>
      <c r="K172" s="712">
        <f t="shared" si="71"/>
        <v>-135.80000000000004</v>
      </c>
      <c r="L172" s="712">
        <f t="shared" si="71"/>
        <v>-142.59000000000003</v>
      </c>
      <c r="M172" s="712">
        <f t="shared" si="71"/>
        <v>-149.71950000000004</v>
      </c>
      <c r="N172" s="712">
        <f t="shared" si="71"/>
        <v>-157.20547500000006</v>
      </c>
      <c r="O172" s="712">
        <f t="shared" si="71"/>
        <v>-165.06574875000007</v>
      </c>
      <c r="P172" s="25">
        <f ca="1">-P101</f>
        <v>-167.54173498125004</v>
      </c>
    </row>
    <row r="173" spans="1:18" hidden="1" outlineLevel="1" x14ac:dyDescent="0.25">
      <c r="C173" s="67" t="s">
        <v>145</v>
      </c>
      <c r="G173" s="25">
        <f t="shared" ref="G173:O173" si="72">+G102</f>
        <v>0</v>
      </c>
      <c r="H173" s="25">
        <f t="shared" si="72"/>
        <v>0</v>
      </c>
      <c r="I173" s="25">
        <f t="shared" si="72"/>
        <v>0</v>
      </c>
      <c r="J173" s="25">
        <f t="shared" si="72"/>
        <v>0</v>
      </c>
      <c r="K173" s="712">
        <f t="shared" si="72"/>
        <v>0</v>
      </c>
      <c r="L173" s="712">
        <f t="shared" si="72"/>
        <v>0</v>
      </c>
      <c r="M173" s="712">
        <f t="shared" si="72"/>
        <v>0</v>
      </c>
      <c r="N173" s="712">
        <f t="shared" si="72"/>
        <v>0</v>
      </c>
      <c r="O173" s="712">
        <f t="shared" si="72"/>
        <v>0</v>
      </c>
      <c r="P173" s="25">
        <f ca="1">+P102</f>
        <v>0</v>
      </c>
    </row>
    <row r="174" spans="1:18" hidden="1" outlineLevel="1" x14ac:dyDescent="0.25">
      <c r="C174" s="15" t="s">
        <v>181</v>
      </c>
      <c r="D174" s="16"/>
      <c r="E174" s="427"/>
      <c r="F174" s="17"/>
      <c r="G174" s="27">
        <f t="shared" ref="G174:O174" si="73">+SUM(G172:G173)</f>
        <v>0</v>
      </c>
      <c r="H174" s="27">
        <f t="shared" si="73"/>
        <v>-50</v>
      </c>
      <c r="I174" s="27">
        <f t="shared" si="73"/>
        <v>-50</v>
      </c>
      <c r="J174" s="27">
        <f t="shared" si="73"/>
        <v>-50</v>
      </c>
      <c r="K174" s="713">
        <f t="shared" si="73"/>
        <v>-135.80000000000004</v>
      </c>
      <c r="L174" s="713">
        <f t="shared" si="73"/>
        <v>-142.59000000000003</v>
      </c>
      <c r="M174" s="713">
        <f t="shared" si="73"/>
        <v>-149.71950000000004</v>
      </c>
      <c r="N174" s="713">
        <f t="shared" si="73"/>
        <v>-157.20547500000006</v>
      </c>
      <c r="O174" s="713">
        <f t="shared" si="73"/>
        <v>-165.06574875000007</v>
      </c>
      <c r="P174" s="27">
        <f ca="1">+SUM(P172:P173)</f>
        <v>-167.54173498125004</v>
      </c>
    </row>
    <row r="175" spans="1:18" hidden="1" outlineLevel="1" x14ac:dyDescent="0.25"/>
    <row r="176" spans="1:18" hidden="1" outlineLevel="1" x14ac:dyDescent="0.25">
      <c r="C176" s="42" t="s">
        <v>184</v>
      </c>
      <c r="G176" s="25">
        <f t="shared" ref="G176:O176" si="74">+G154-F154</f>
        <v>100</v>
      </c>
      <c r="H176" s="25">
        <f t="shared" si="74"/>
        <v>0</v>
      </c>
      <c r="I176" s="25">
        <f t="shared" si="74"/>
        <v>0</v>
      </c>
      <c r="J176" s="25">
        <f t="shared" si="74"/>
        <v>0</v>
      </c>
      <c r="K176" s="712">
        <f t="shared" si="74"/>
        <v>100</v>
      </c>
      <c r="L176" s="712">
        <f t="shared" si="74"/>
        <v>0</v>
      </c>
      <c r="M176" s="712">
        <f t="shared" si="74"/>
        <v>0</v>
      </c>
      <c r="N176" s="712">
        <f t="shared" si="74"/>
        <v>0</v>
      </c>
      <c r="O176" s="712">
        <f t="shared" si="74"/>
        <v>0</v>
      </c>
      <c r="P176" s="25">
        <f ca="1">+P154-OFFSET(J154,,'2. Input_Allgemein'!$E$36)</f>
        <v>2.9999999999999716</v>
      </c>
    </row>
    <row r="177" spans="3:23" hidden="1" outlineLevel="1" x14ac:dyDescent="0.25">
      <c r="C177" s="42" t="s">
        <v>224</v>
      </c>
      <c r="G177" s="25">
        <f t="shared" ref="G177:J177" si="75">+G156-F156+F119-G119</f>
        <v>0</v>
      </c>
      <c r="H177" s="25">
        <f t="shared" si="75"/>
        <v>0</v>
      </c>
      <c r="I177" s="25">
        <f t="shared" si="75"/>
        <v>0</v>
      </c>
      <c r="J177" s="25">
        <f t="shared" si="75"/>
        <v>0</v>
      </c>
      <c r="K177" s="712">
        <f ca="1">+K156-J156+J119-K119</f>
        <v>384.86428571428587</v>
      </c>
      <c r="L177" s="712">
        <f ca="1">+L156-K156+K119-L119</f>
        <v>0</v>
      </c>
      <c r="M177" s="712">
        <f ca="1">+M156-L156+L119-M119</f>
        <v>0</v>
      </c>
      <c r="N177" s="712">
        <f ca="1">+N156-M156+M119-N119</f>
        <v>5.6843418860808015E-14</v>
      </c>
      <c r="O177" s="712">
        <f ca="1">+O156-N156+N119-O119</f>
        <v>1.1368683772161603E-13</v>
      </c>
      <c r="P177" s="25">
        <f ca="1">+P156-OFFSET(J156,,'2. Input_Allgemein'!$E$36)+OFFSET(J119,,'2. Input_Allgemein'!$E$36)-P119</f>
        <v>10.219982789062442</v>
      </c>
    </row>
    <row r="178" spans="3:23" hidden="1" outlineLevel="1" x14ac:dyDescent="0.25">
      <c r="C178" s="42" t="s">
        <v>189</v>
      </c>
      <c r="G178" s="25">
        <f t="shared" ref="G178:O178" si="76">+G143-F143</f>
        <v>0</v>
      </c>
      <c r="H178" s="25">
        <f t="shared" si="76"/>
        <v>0</v>
      </c>
      <c r="I178" s="25">
        <f t="shared" si="76"/>
        <v>0</v>
      </c>
      <c r="J178" s="25">
        <f t="shared" si="76"/>
        <v>0</v>
      </c>
      <c r="K178" s="712">
        <f t="shared" si="76"/>
        <v>0</v>
      </c>
      <c r="L178" s="712">
        <f t="shared" si="76"/>
        <v>0</v>
      </c>
      <c r="M178" s="712">
        <f t="shared" si="76"/>
        <v>0</v>
      </c>
      <c r="N178" s="712">
        <f t="shared" si="76"/>
        <v>0</v>
      </c>
      <c r="O178" s="712">
        <f t="shared" si="76"/>
        <v>0</v>
      </c>
      <c r="P178" s="25">
        <f ca="1">+P143-OFFSET(J143,,'2. Input_Allgemein'!$E$36)</f>
        <v>0</v>
      </c>
    </row>
    <row r="179" spans="3:23" hidden="1" outlineLevel="1" x14ac:dyDescent="0.25">
      <c r="C179" s="42" t="s">
        <v>183</v>
      </c>
      <c r="G179" s="25">
        <f t="shared" ref="G179:J179" si="77">+G132-F132-G129</f>
        <v>-25</v>
      </c>
      <c r="H179" s="25">
        <f t="shared" si="77"/>
        <v>0</v>
      </c>
      <c r="I179" s="25">
        <f t="shared" si="77"/>
        <v>0</v>
      </c>
      <c r="J179" s="25">
        <f t="shared" si="77"/>
        <v>0</v>
      </c>
      <c r="K179" s="712">
        <f ca="1">+K132-J132-K129</f>
        <v>-130.98617950000005</v>
      </c>
      <c r="L179" s="712">
        <f ca="1">+L132-K132-L129</f>
        <v>-60.748845650714344</v>
      </c>
      <c r="M179" s="712">
        <f ca="1">+M132-L132-M129</f>
        <v>-79.187002177014364</v>
      </c>
      <c r="N179" s="712">
        <f ca="1">+N132-M132-N129</f>
        <v>-98.721378794455319</v>
      </c>
      <c r="O179" s="712">
        <f ca="1">+O132-N132-O129</f>
        <v>-119.41008296736646</v>
      </c>
      <c r="P179" s="25">
        <f ca="1">+P132-OFFSET(J132,,'2. Input_Allgemein'!$E$36)-P129</f>
        <v>-133.8094091427582</v>
      </c>
    </row>
    <row r="180" spans="3:23" hidden="1" outlineLevel="1" x14ac:dyDescent="0.25">
      <c r="C180" s="15" t="s">
        <v>185</v>
      </c>
      <c r="D180" s="16"/>
      <c r="E180" s="427"/>
      <c r="F180" s="17"/>
      <c r="G180" s="27">
        <f t="shared" ref="G180:J180" si="78">+SUM(G176:G179)</f>
        <v>75</v>
      </c>
      <c r="H180" s="27">
        <f t="shared" si="78"/>
        <v>0</v>
      </c>
      <c r="I180" s="27">
        <f t="shared" si="78"/>
        <v>0</v>
      </c>
      <c r="J180" s="27">
        <f t="shared" si="78"/>
        <v>0</v>
      </c>
      <c r="K180" s="713">
        <f t="shared" ref="K180:P180" ca="1" si="79">+SUM(K176:K179)</f>
        <v>353.87810621428582</v>
      </c>
      <c r="L180" s="713">
        <f t="shared" ca="1" si="79"/>
        <v>-60.748845650714344</v>
      </c>
      <c r="M180" s="713">
        <f t="shared" ca="1" si="79"/>
        <v>-79.187002177014364</v>
      </c>
      <c r="N180" s="713">
        <f t="shared" ca="1" si="79"/>
        <v>-98.721378794455262</v>
      </c>
      <c r="O180" s="713">
        <f t="shared" ca="1" si="79"/>
        <v>-119.41008296736635</v>
      </c>
      <c r="P180" s="27">
        <f t="shared" ca="1" si="79"/>
        <v>-120.58942635369579</v>
      </c>
    </row>
    <row r="181" spans="3:23" hidden="1" outlineLevel="1" x14ac:dyDescent="0.25">
      <c r="C181" s="8"/>
      <c r="D181" s="19"/>
      <c r="G181" s="71"/>
      <c r="H181" s="71"/>
      <c r="I181" s="71"/>
    </row>
    <row r="182" spans="3:23" hidden="1" outlineLevel="1" x14ac:dyDescent="0.25">
      <c r="C182" s="2" t="s">
        <v>187</v>
      </c>
      <c r="D182" s="19"/>
      <c r="G182" s="88"/>
      <c r="H182" s="25">
        <f t="shared" ref="H182:K182" si="80">+G184</f>
        <v>-254.03333333333342</v>
      </c>
      <c r="I182" s="25">
        <f t="shared" si="80"/>
        <v>-172.23333333333346</v>
      </c>
      <c r="J182" s="25">
        <f t="shared" si="80"/>
        <v>-77.466666666666782</v>
      </c>
      <c r="K182" s="712">
        <f t="shared" si="80"/>
        <v>60.333333333333371</v>
      </c>
      <c r="L182" s="712">
        <f ca="1">+K184</f>
        <v>475.00000000000006</v>
      </c>
      <c r="M182" s="712">
        <f ca="1">+L184</f>
        <v>475.00000000000006</v>
      </c>
      <c r="N182" s="712">
        <f ca="1">+M184</f>
        <v>475.00000000000006</v>
      </c>
      <c r="O182" s="712">
        <f ca="1">+N184</f>
        <v>475.00000000000006</v>
      </c>
      <c r="P182" s="25">
        <f ca="1">OFFSET(J184,,'2. Input_Allgemein'!$E$36)</f>
        <v>475.00000000000017</v>
      </c>
    </row>
    <row r="183" spans="3:23" hidden="1" outlineLevel="1" x14ac:dyDescent="0.25">
      <c r="C183" s="2" t="s">
        <v>186</v>
      </c>
      <c r="D183" s="19"/>
      <c r="G183" s="88"/>
      <c r="H183" s="34">
        <f t="shared" ref="H183:J183" si="81">+H170+H174+H180</f>
        <v>81.799999999999955</v>
      </c>
      <c r="I183" s="34">
        <f t="shared" si="81"/>
        <v>94.76666666666668</v>
      </c>
      <c r="J183" s="34">
        <f t="shared" si="81"/>
        <v>137.80000000000015</v>
      </c>
      <c r="K183" s="712">
        <f t="shared" ref="K183:P183" ca="1" si="82">+K170+K174+K180</f>
        <v>414.66666666666669</v>
      </c>
      <c r="L183" s="712">
        <f t="shared" ca="1" si="82"/>
        <v>0</v>
      </c>
      <c r="M183" s="712">
        <f t="shared" ca="1" si="82"/>
        <v>0</v>
      </c>
      <c r="N183" s="712">
        <f t="shared" ca="1" si="82"/>
        <v>0</v>
      </c>
      <c r="O183" s="712">
        <f t="shared" ca="1" si="82"/>
        <v>1.1368683772161603E-13</v>
      </c>
      <c r="P183" s="34">
        <f t="shared" ca="1" si="82"/>
        <v>10.219982789062499</v>
      </c>
    </row>
    <row r="184" spans="3:23" hidden="1" outlineLevel="1" x14ac:dyDescent="0.25">
      <c r="C184" s="35" t="s">
        <v>188</v>
      </c>
      <c r="D184" s="72"/>
      <c r="E184" s="389"/>
      <c r="F184" s="35"/>
      <c r="G184" s="36">
        <f>+'3. Input_Historie'!G86</f>
        <v>-254.03333333333342</v>
      </c>
      <c r="H184" s="36">
        <f t="shared" ref="H184:J184" si="83">+SUM(H182:H183)</f>
        <v>-172.23333333333346</v>
      </c>
      <c r="I184" s="36">
        <f t="shared" si="83"/>
        <v>-77.466666666666782</v>
      </c>
      <c r="J184" s="36">
        <f t="shared" si="83"/>
        <v>60.333333333333371</v>
      </c>
      <c r="K184" s="713">
        <f t="shared" ref="K184:P184" ca="1" si="84">+SUM(K182:K183)</f>
        <v>475.00000000000006</v>
      </c>
      <c r="L184" s="713">
        <f t="shared" ca="1" si="84"/>
        <v>475.00000000000006</v>
      </c>
      <c r="M184" s="713">
        <f t="shared" ca="1" si="84"/>
        <v>475.00000000000006</v>
      </c>
      <c r="N184" s="713">
        <f t="shared" ca="1" si="84"/>
        <v>475.00000000000006</v>
      </c>
      <c r="O184" s="713">
        <f t="shared" ca="1" si="84"/>
        <v>475.00000000000017</v>
      </c>
      <c r="P184" s="36">
        <f t="shared" ca="1" si="84"/>
        <v>485.21998278906267</v>
      </c>
    </row>
    <row r="185" spans="3:23" hidden="1" collapsed="1" x14ac:dyDescent="0.25"/>
    <row r="186" spans="3:23" hidden="1" outlineLevel="1" x14ac:dyDescent="0.25"/>
    <row r="187" spans="3:23" hidden="1" outlineLevel="1" x14ac:dyDescent="0.25"/>
    <row r="188" spans="3:23" ht="22.5" hidden="1" outlineLevel="1" x14ac:dyDescent="0.35">
      <c r="C188" s="218" t="s">
        <v>65</v>
      </c>
    </row>
    <row r="189" spans="3:23" hidden="1" outlineLevel="1" x14ac:dyDescent="0.25">
      <c r="G189" s="9"/>
      <c r="H189" s="9"/>
      <c r="I189" s="9"/>
      <c r="J189" s="20" t="s">
        <v>38</v>
      </c>
      <c r="K189" s="708" t="s">
        <v>39</v>
      </c>
      <c r="L189" s="708"/>
      <c r="M189" s="708"/>
      <c r="N189" s="708"/>
      <c r="O189" s="708"/>
      <c r="P189" s="73" t="s">
        <v>104</v>
      </c>
      <c r="R189" s="30" t="s">
        <v>199</v>
      </c>
      <c r="S189" s="31"/>
      <c r="V189" s="30" t="s">
        <v>63</v>
      </c>
      <c r="W189" s="31"/>
    </row>
    <row r="190" spans="3:23" hidden="1" outlineLevel="1" x14ac:dyDescent="0.25">
      <c r="G190" s="13">
        <f t="shared" ref="G190:O190" ca="1" si="85">+G57</f>
        <v>2023</v>
      </c>
      <c r="H190" s="13">
        <f t="shared" ca="1" si="85"/>
        <v>2024</v>
      </c>
      <c r="I190" s="13">
        <f t="shared" ca="1" si="85"/>
        <v>2025</v>
      </c>
      <c r="J190" s="21">
        <f t="shared" ca="1" si="85"/>
        <v>2026</v>
      </c>
      <c r="K190" s="709">
        <f t="shared" ca="1" si="85"/>
        <v>2027</v>
      </c>
      <c r="L190" s="710">
        <f t="shared" ca="1" si="85"/>
        <v>2028</v>
      </c>
      <c r="M190" s="710">
        <f t="shared" ca="1" si="85"/>
        <v>2029</v>
      </c>
      <c r="N190" s="710">
        <f t="shared" ca="1" si="85"/>
        <v>2030</v>
      </c>
      <c r="O190" s="711">
        <f t="shared" ca="1" si="85"/>
        <v>2031</v>
      </c>
      <c r="P190" s="233">
        <f ca="1">+OFFSET(J190,,'2. Input_Allgemein'!$E$36)+1</f>
        <v>2032</v>
      </c>
      <c r="R190" s="28" t="s">
        <v>35</v>
      </c>
      <c r="S190" s="29" t="s">
        <v>63</v>
      </c>
      <c r="V190" s="28" t="s">
        <v>75</v>
      </c>
      <c r="W190" s="29" t="s">
        <v>76</v>
      </c>
    </row>
    <row r="191" spans="3:23" hidden="1" outlineLevel="1" x14ac:dyDescent="0.25">
      <c r="C191" s="2" t="s">
        <v>36</v>
      </c>
      <c r="D191" s="19" t="s">
        <v>37</v>
      </c>
      <c r="G191" s="25">
        <f t="shared" ref="G191:O191" si="86">+G58</f>
        <v>463.33333333333337</v>
      </c>
      <c r="H191" s="25">
        <f t="shared" si="86"/>
        <v>463.33333333333337</v>
      </c>
      <c r="I191" s="25">
        <f t="shared" si="86"/>
        <v>626.66666666666674</v>
      </c>
      <c r="J191" s="25">
        <f t="shared" si="86"/>
        <v>646.66666666666674</v>
      </c>
      <c r="K191" s="712">
        <f t="shared" si="86"/>
        <v>679.00000000000011</v>
      </c>
      <c r="L191" s="712">
        <f t="shared" si="86"/>
        <v>712.95000000000016</v>
      </c>
      <c r="M191" s="712">
        <f t="shared" si="86"/>
        <v>748.5975000000002</v>
      </c>
      <c r="N191" s="712">
        <f t="shared" si="86"/>
        <v>786.02737500000023</v>
      </c>
      <c r="O191" s="712">
        <f t="shared" si="86"/>
        <v>825.32874375000029</v>
      </c>
      <c r="P191" s="25">
        <f ca="1">+P58</f>
        <v>837.70867490625017</v>
      </c>
      <c r="R191" s="33">
        <f>+AVERAGE(G191:J191)</f>
        <v>550</v>
      </c>
      <c r="S191" s="33">
        <f>+AVERAGE(K191:O191)</f>
        <v>750.38072375000024</v>
      </c>
      <c r="U191" s="7"/>
      <c r="V191" s="33">
        <f>IFERROR(+AVERAGE(K191:O191),"n/a")</f>
        <v>750.38072375000024</v>
      </c>
      <c r="W191" s="33">
        <f>IFERROR(+MEDIAN(K191:O191),"n/a")</f>
        <v>748.5975000000002</v>
      </c>
    </row>
    <row r="192" spans="3:23" hidden="1" outlineLevel="1" x14ac:dyDescent="0.25">
      <c r="C192" s="2" t="s">
        <v>40</v>
      </c>
      <c r="D192" s="19" t="s">
        <v>37</v>
      </c>
      <c r="G192" s="25">
        <f t="shared" ref="G192:O192" si="87">ABS(+G60)</f>
        <v>46.333333333333343</v>
      </c>
      <c r="H192" s="25">
        <f t="shared" si="87"/>
        <v>46.333333333333343</v>
      </c>
      <c r="I192" s="25">
        <f t="shared" si="87"/>
        <v>62.666666666666679</v>
      </c>
      <c r="J192" s="25">
        <f t="shared" si="87"/>
        <v>64.666666666666671</v>
      </c>
      <c r="K192" s="712">
        <f t="shared" si="87"/>
        <v>65.313333333333333</v>
      </c>
      <c r="L192" s="712">
        <f t="shared" si="87"/>
        <v>65.966466666666662</v>
      </c>
      <c r="M192" s="712">
        <f t="shared" si="87"/>
        <v>66.626131333333333</v>
      </c>
      <c r="N192" s="712">
        <f t="shared" si="87"/>
        <v>67.29239264666667</v>
      </c>
      <c r="O192" s="712">
        <f t="shared" si="87"/>
        <v>67.965316573133336</v>
      </c>
      <c r="P192" s="25">
        <f ca="1">ABS(+P60)</f>
        <v>68.984796321730329</v>
      </c>
      <c r="R192" s="33">
        <f>+AVERAGE(G192:J192)</f>
        <v>55.000000000000014</v>
      </c>
      <c r="S192" s="33">
        <f>+AVERAGE(K192:O192)</f>
        <v>66.632728110626672</v>
      </c>
      <c r="U192" s="7"/>
      <c r="V192" s="33">
        <f>IFERROR(+AVERAGE(K192:O192),"n/a")</f>
        <v>66.632728110626672</v>
      </c>
      <c r="W192" s="33">
        <f>IFERROR(+MEDIAN(K192:O192),"n/a")</f>
        <v>66.626131333333333</v>
      </c>
    </row>
    <row r="193" spans="3:23" hidden="1" outlineLevel="1" x14ac:dyDescent="0.25"/>
    <row r="194" spans="3:23" hidden="1" outlineLevel="1" x14ac:dyDescent="0.25">
      <c r="C194" s="2" t="str">
        <f>+C111</f>
        <v>Forderungen aus Lieferung und Leistungen</v>
      </c>
      <c r="D194" s="19" t="s">
        <v>37</v>
      </c>
      <c r="G194" s="25">
        <f t="shared" ref="G194:O194" si="88">+G111</f>
        <v>115.83333333333334</v>
      </c>
      <c r="H194" s="25">
        <f t="shared" si="88"/>
        <v>115.83333333333334</v>
      </c>
      <c r="I194" s="25">
        <f t="shared" si="88"/>
        <v>156.66666666666669</v>
      </c>
      <c r="J194" s="25">
        <f t="shared" si="88"/>
        <v>161.66666666666669</v>
      </c>
      <c r="K194" s="712">
        <f t="shared" si="88"/>
        <v>169.75000000000003</v>
      </c>
      <c r="L194" s="712">
        <f t="shared" si="88"/>
        <v>178.23750000000004</v>
      </c>
      <c r="M194" s="712">
        <f t="shared" si="88"/>
        <v>187.14937500000005</v>
      </c>
      <c r="N194" s="712">
        <f t="shared" si="88"/>
        <v>196.50684375000006</v>
      </c>
      <c r="O194" s="712">
        <f t="shared" si="88"/>
        <v>206.33218593750007</v>
      </c>
      <c r="P194" s="25">
        <f ca="1">+P111</f>
        <v>209.42716872656254</v>
      </c>
      <c r="R194" s="33">
        <f t="shared" ref="R194:R199" si="89">+AVERAGE(G194:J194)</f>
        <v>137.5</v>
      </c>
      <c r="S194" s="33">
        <f t="shared" ref="S194:S199" si="90">+AVERAGE(K194:O194)</f>
        <v>187.59518093750006</v>
      </c>
      <c r="V194" s="33">
        <f>IFERROR(+AVERAGE(K194:O194),"n/a")</f>
        <v>187.59518093750006</v>
      </c>
      <c r="W194" s="33">
        <f>IFERROR(+MEDIAN(K194:O194),"n/a")</f>
        <v>187.14937500000005</v>
      </c>
    </row>
    <row r="195" spans="3:23" hidden="1" outlineLevel="1" x14ac:dyDescent="0.25">
      <c r="C195" s="2" t="str">
        <f>+C110</f>
        <v>Vorräte</v>
      </c>
      <c r="D195" s="19" t="s">
        <v>37</v>
      </c>
      <c r="G195" s="25">
        <f t="shared" ref="G195:O195" si="91">+G110</f>
        <v>92.666666666666686</v>
      </c>
      <c r="H195" s="25">
        <f t="shared" si="91"/>
        <v>92.666666666666686</v>
      </c>
      <c r="I195" s="25">
        <f t="shared" si="91"/>
        <v>125.33333333333336</v>
      </c>
      <c r="J195" s="25">
        <f t="shared" si="91"/>
        <v>129.33333333333334</v>
      </c>
      <c r="K195" s="712">
        <f t="shared" si="91"/>
        <v>135.80000000000001</v>
      </c>
      <c r="L195" s="712">
        <f t="shared" si="91"/>
        <v>142.59000000000003</v>
      </c>
      <c r="M195" s="712">
        <f t="shared" si="91"/>
        <v>149.71950000000004</v>
      </c>
      <c r="N195" s="712">
        <f t="shared" si="91"/>
        <v>157.20547500000004</v>
      </c>
      <c r="O195" s="712">
        <f t="shared" si="91"/>
        <v>165.06574875000004</v>
      </c>
      <c r="P195" s="25">
        <f ca="1">+P110</f>
        <v>167.54173498125002</v>
      </c>
      <c r="R195" s="33">
        <f t="shared" si="89"/>
        <v>110.00000000000003</v>
      </c>
      <c r="S195" s="33">
        <f t="shared" si="90"/>
        <v>150.07614475000003</v>
      </c>
      <c r="V195" s="33">
        <f>IFERROR(+AVERAGE(K195:O195),"n/a")</f>
        <v>150.07614475000003</v>
      </c>
      <c r="W195" s="33">
        <f>IFERROR(+MEDIAN(K195:O195),"n/a")</f>
        <v>149.71950000000004</v>
      </c>
    </row>
    <row r="196" spans="3:23" hidden="1" outlineLevel="1" x14ac:dyDescent="0.25">
      <c r="C196" s="2" t="str">
        <f>+C112</f>
        <v>Forderungen und sonstige Vermögensgegenstände</v>
      </c>
      <c r="D196" s="19" t="s">
        <v>37</v>
      </c>
      <c r="G196" s="25">
        <f t="shared" ref="G196:O196" si="92">+G112</f>
        <v>0</v>
      </c>
      <c r="H196" s="25">
        <f t="shared" si="92"/>
        <v>0</v>
      </c>
      <c r="I196" s="25">
        <f t="shared" si="92"/>
        <v>0</v>
      </c>
      <c r="J196" s="25">
        <f t="shared" si="92"/>
        <v>0</v>
      </c>
      <c r="K196" s="712">
        <f t="shared" si="92"/>
        <v>0</v>
      </c>
      <c r="L196" s="712">
        <f t="shared" si="92"/>
        <v>0</v>
      </c>
      <c r="M196" s="712">
        <f t="shared" si="92"/>
        <v>0</v>
      </c>
      <c r="N196" s="712">
        <f t="shared" si="92"/>
        <v>0</v>
      </c>
      <c r="O196" s="712">
        <f t="shared" si="92"/>
        <v>0</v>
      </c>
      <c r="P196" s="25">
        <f ca="1">+P112</f>
        <v>0</v>
      </c>
      <c r="R196" s="33">
        <f t="shared" si="89"/>
        <v>0</v>
      </c>
      <c r="S196" s="33">
        <f t="shared" si="90"/>
        <v>0</v>
      </c>
      <c r="V196" s="33">
        <f>IFERROR(+AVERAGE(K196:O196),"n/a")</f>
        <v>0</v>
      </c>
      <c r="W196" s="33">
        <f>IFERROR(+MEDIAN(K196:O196),"n/a")</f>
        <v>0</v>
      </c>
    </row>
    <row r="197" spans="3:23" hidden="1" outlineLevel="1" x14ac:dyDescent="0.25">
      <c r="C197" s="2" t="str">
        <f>+C113</f>
        <v>[Platzhalter]</v>
      </c>
      <c r="D197" s="19" t="s">
        <v>37</v>
      </c>
      <c r="G197" s="25">
        <f t="shared" ref="G197:O197" si="93">+G113</f>
        <v>0</v>
      </c>
      <c r="H197" s="25">
        <f t="shared" si="93"/>
        <v>0</v>
      </c>
      <c r="I197" s="25">
        <f t="shared" si="93"/>
        <v>0</v>
      </c>
      <c r="J197" s="25">
        <f t="shared" si="93"/>
        <v>0</v>
      </c>
      <c r="K197" s="712">
        <f t="shared" si="93"/>
        <v>0</v>
      </c>
      <c r="L197" s="712">
        <f t="shared" si="93"/>
        <v>0</v>
      </c>
      <c r="M197" s="712">
        <f t="shared" si="93"/>
        <v>0</v>
      </c>
      <c r="N197" s="712">
        <f t="shared" si="93"/>
        <v>0</v>
      </c>
      <c r="O197" s="712">
        <f t="shared" si="93"/>
        <v>0</v>
      </c>
      <c r="P197" s="25">
        <f ca="1">+P113</f>
        <v>0</v>
      </c>
      <c r="R197" s="33">
        <f t="shared" si="89"/>
        <v>0</v>
      </c>
      <c r="S197" s="33">
        <f t="shared" si="90"/>
        <v>0</v>
      </c>
      <c r="V197" s="33"/>
      <c r="W197" s="33"/>
    </row>
    <row r="198" spans="3:23" hidden="1" outlineLevel="1" x14ac:dyDescent="0.25">
      <c r="C198" s="2" t="str">
        <f>+C114</f>
        <v>[Platzhalter]</v>
      </c>
      <c r="D198" s="19" t="s">
        <v>37</v>
      </c>
      <c r="G198" s="25">
        <f t="shared" ref="G198:O198" si="94">+G114</f>
        <v>0</v>
      </c>
      <c r="H198" s="25">
        <f t="shared" si="94"/>
        <v>0</v>
      </c>
      <c r="I198" s="25">
        <f t="shared" si="94"/>
        <v>0</v>
      </c>
      <c r="J198" s="25">
        <f t="shared" si="94"/>
        <v>0</v>
      </c>
      <c r="K198" s="712">
        <f t="shared" si="94"/>
        <v>0</v>
      </c>
      <c r="L198" s="712">
        <f t="shared" si="94"/>
        <v>0</v>
      </c>
      <c r="M198" s="712">
        <f t="shared" si="94"/>
        <v>0</v>
      </c>
      <c r="N198" s="712">
        <f t="shared" si="94"/>
        <v>0</v>
      </c>
      <c r="O198" s="712">
        <f t="shared" si="94"/>
        <v>0</v>
      </c>
      <c r="P198" s="25">
        <f ca="1">+P114</f>
        <v>0</v>
      </c>
      <c r="R198" s="33">
        <f t="shared" si="89"/>
        <v>0</v>
      </c>
      <c r="S198" s="33">
        <f t="shared" si="90"/>
        <v>0</v>
      </c>
      <c r="V198" s="33"/>
      <c r="W198" s="33"/>
    </row>
    <row r="199" spans="3:23" hidden="1" outlineLevel="1" x14ac:dyDescent="0.25">
      <c r="C199" s="15" t="s">
        <v>198</v>
      </c>
      <c r="D199" s="16" t="s">
        <v>37</v>
      </c>
      <c r="E199" s="427"/>
      <c r="F199" s="87"/>
      <c r="G199" s="27">
        <f t="shared" ref="G199:O199" si="95">+SUM(G194:G198)</f>
        <v>208.50000000000003</v>
      </c>
      <c r="H199" s="27">
        <f t="shared" si="95"/>
        <v>208.50000000000003</v>
      </c>
      <c r="I199" s="27">
        <f t="shared" si="95"/>
        <v>282.00000000000006</v>
      </c>
      <c r="J199" s="27">
        <f t="shared" si="95"/>
        <v>291</v>
      </c>
      <c r="K199" s="713">
        <f t="shared" si="95"/>
        <v>305.55000000000007</v>
      </c>
      <c r="L199" s="713">
        <f t="shared" si="95"/>
        <v>320.8275000000001</v>
      </c>
      <c r="M199" s="713">
        <f t="shared" si="95"/>
        <v>336.86887500000012</v>
      </c>
      <c r="N199" s="713">
        <f t="shared" si="95"/>
        <v>353.71231875000012</v>
      </c>
      <c r="O199" s="713">
        <f t="shared" si="95"/>
        <v>371.39793468750008</v>
      </c>
      <c r="P199" s="27">
        <f ca="1">+SUM(P194:P198)</f>
        <v>376.96890370781256</v>
      </c>
      <c r="R199" s="82">
        <f t="shared" si="89"/>
        <v>247.50000000000003</v>
      </c>
      <c r="S199" s="82">
        <f t="shared" si="90"/>
        <v>337.67132568750009</v>
      </c>
      <c r="V199" s="33">
        <f>IFERROR(+AVERAGE(K199:O199),"n/a")</f>
        <v>337.67132568750009</v>
      </c>
      <c r="W199" s="33">
        <f>IFERROR(+MEDIAN(K199:O199),"n/a")</f>
        <v>336.86887500000012</v>
      </c>
    </row>
    <row r="200" spans="3:23" hidden="1" outlineLevel="1" x14ac:dyDescent="0.25"/>
    <row r="201" spans="3:23" hidden="1" outlineLevel="1" x14ac:dyDescent="0.25">
      <c r="C201" s="2" t="str">
        <f>+C145</f>
        <v>Verbindlichkeiten aus Lieferungen und Leistungen</v>
      </c>
      <c r="D201" s="19" t="s">
        <v>37</v>
      </c>
      <c r="G201" s="25">
        <f t="shared" ref="G201:O201" si="96">+G145</f>
        <v>69.5</v>
      </c>
      <c r="H201" s="25">
        <f t="shared" si="96"/>
        <v>69.5</v>
      </c>
      <c r="I201" s="25">
        <f t="shared" si="96"/>
        <v>94.000000000000014</v>
      </c>
      <c r="J201" s="25">
        <f t="shared" si="96"/>
        <v>97.000000000000014</v>
      </c>
      <c r="K201" s="712">
        <f t="shared" si="96"/>
        <v>101.85000000000002</v>
      </c>
      <c r="L201" s="712">
        <f t="shared" si="96"/>
        <v>106.94250000000002</v>
      </c>
      <c r="M201" s="712">
        <f t="shared" si="96"/>
        <v>112.28962500000003</v>
      </c>
      <c r="N201" s="712">
        <f t="shared" si="96"/>
        <v>117.90410625000004</v>
      </c>
      <c r="O201" s="712">
        <f t="shared" si="96"/>
        <v>123.79931156250005</v>
      </c>
      <c r="P201" s="25">
        <f ca="1">+P145</f>
        <v>125.65630123593753</v>
      </c>
      <c r="R201" s="33">
        <f t="shared" ref="R201:R207" si="97">+AVERAGE(G201:J201)</f>
        <v>82.5</v>
      </c>
      <c r="S201" s="33">
        <f t="shared" ref="S201:S207" si="98">+AVERAGE(K201:O201)</f>
        <v>112.55710856250002</v>
      </c>
      <c r="V201" s="33">
        <f>IFERROR(+AVERAGE(K201:O201),"n/a")</f>
        <v>112.55710856250002</v>
      </c>
      <c r="W201" s="33">
        <f>IFERROR(+MEDIAN(K201:O201),"n/a")</f>
        <v>112.28962500000003</v>
      </c>
    </row>
    <row r="202" spans="3:23" hidden="1" outlineLevel="1" x14ac:dyDescent="0.25">
      <c r="C202" s="2" t="str">
        <f>+C146</f>
        <v xml:space="preserve">sonstige kurzfristige Verbindlichkeiten </v>
      </c>
      <c r="D202" s="19" t="s">
        <v>37</v>
      </c>
      <c r="G202" s="25">
        <f t="shared" ref="G202:O202" si="99">+G146</f>
        <v>23.166666666666671</v>
      </c>
      <c r="H202" s="25">
        <f t="shared" si="99"/>
        <v>23.166666666666671</v>
      </c>
      <c r="I202" s="25">
        <f t="shared" si="99"/>
        <v>31.333333333333339</v>
      </c>
      <c r="J202" s="25">
        <f t="shared" si="99"/>
        <v>32.333333333333336</v>
      </c>
      <c r="K202" s="712">
        <f t="shared" si="99"/>
        <v>33.950000000000003</v>
      </c>
      <c r="L202" s="712">
        <f t="shared" si="99"/>
        <v>35.647500000000008</v>
      </c>
      <c r="M202" s="712">
        <f t="shared" si="99"/>
        <v>37.42987500000001</v>
      </c>
      <c r="N202" s="712">
        <f t="shared" si="99"/>
        <v>39.301368750000009</v>
      </c>
      <c r="O202" s="712">
        <f t="shared" si="99"/>
        <v>41.26643718750001</v>
      </c>
      <c r="P202" s="25">
        <f ca="1">+P146</f>
        <v>41.885433745312504</v>
      </c>
      <c r="R202" s="33">
        <f t="shared" si="97"/>
        <v>27.500000000000007</v>
      </c>
      <c r="S202" s="33">
        <f t="shared" si="98"/>
        <v>37.519036187500006</v>
      </c>
      <c r="V202" s="33">
        <f>IFERROR(+AVERAGE(K202:O202),"n/a")</f>
        <v>37.519036187500006</v>
      </c>
      <c r="W202" s="33">
        <f>IFERROR(+MEDIAN(K202:O202),"n/a")</f>
        <v>37.42987500000001</v>
      </c>
    </row>
    <row r="203" spans="3:23" hidden="1" outlineLevel="1" x14ac:dyDescent="0.25">
      <c r="C203" s="2" t="str">
        <f>+C134</f>
        <v>Steuerrückstellungen</v>
      </c>
      <c r="D203" s="19" t="s">
        <v>37</v>
      </c>
      <c r="G203" s="25">
        <f t="shared" ref="G203:O203" si="100">+G134</f>
        <v>0</v>
      </c>
      <c r="H203" s="25">
        <f t="shared" si="100"/>
        <v>0</v>
      </c>
      <c r="I203" s="25">
        <f t="shared" si="100"/>
        <v>0</v>
      </c>
      <c r="J203" s="25">
        <f t="shared" si="100"/>
        <v>0</v>
      </c>
      <c r="K203" s="712">
        <f t="shared" si="100"/>
        <v>0</v>
      </c>
      <c r="L203" s="712">
        <f t="shared" si="100"/>
        <v>0</v>
      </c>
      <c r="M203" s="712">
        <f t="shared" si="100"/>
        <v>0</v>
      </c>
      <c r="N203" s="712">
        <f t="shared" si="100"/>
        <v>0</v>
      </c>
      <c r="O203" s="712">
        <f t="shared" si="100"/>
        <v>0</v>
      </c>
      <c r="P203" s="25">
        <f ca="1">+P134</f>
        <v>0</v>
      </c>
      <c r="R203" s="33">
        <f t="shared" si="97"/>
        <v>0</v>
      </c>
      <c r="S203" s="33">
        <f t="shared" si="98"/>
        <v>0</v>
      </c>
    </row>
    <row r="204" spans="3:23" hidden="1" outlineLevel="1" x14ac:dyDescent="0.25">
      <c r="C204" s="2" t="str">
        <f>+C135</f>
        <v>sonstige Rückstellungen</v>
      </c>
      <c r="D204" s="19" t="s">
        <v>37</v>
      </c>
      <c r="G204" s="25">
        <f t="shared" ref="G204:O204" si="101">+G135</f>
        <v>0</v>
      </c>
      <c r="H204" s="25">
        <f t="shared" si="101"/>
        <v>0</v>
      </c>
      <c r="I204" s="25">
        <f t="shared" si="101"/>
        <v>0</v>
      </c>
      <c r="J204" s="25">
        <f t="shared" si="101"/>
        <v>0</v>
      </c>
      <c r="K204" s="712">
        <f t="shared" si="101"/>
        <v>0</v>
      </c>
      <c r="L204" s="712">
        <f t="shared" si="101"/>
        <v>0</v>
      </c>
      <c r="M204" s="712">
        <f t="shared" si="101"/>
        <v>0</v>
      </c>
      <c r="N204" s="712">
        <f t="shared" si="101"/>
        <v>0</v>
      </c>
      <c r="O204" s="712">
        <f t="shared" si="101"/>
        <v>0</v>
      </c>
      <c r="P204" s="25">
        <f ca="1">+P135</f>
        <v>0</v>
      </c>
      <c r="R204" s="33">
        <f t="shared" si="97"/>
        <v>0</v>
      </c>
      <c r="S204" s="33">
        <f t="shared" si="98"/>
        <v>0</v>
      </c>
    </row>
    <row r="205" spans="3:23" hidden="1" outlineLevel="1" x14ac:dyDescent="0.25">
      <c r="C205" s="2" t="str">
        <f>+C136</f>
        <v>[Platzhalter]</v>
      </c>
      <c r="D205" s="19" t="s">
        <v>37</v>
      </c>
      <c r="G205" s="25">
        <f t="shared" ref="G205:O205" si="102">+G136</f>
        <v>0</v>
      </c>
      <c r="H205" s="25">
        <f t="shared" si="102"/>
        <v>0</v>
      </c>
      <c r="I205" s="25">
        <f t="shared" si="102"/>
        <v>0</v>
      </c>
      <c r="J205" s="25">
        <f t="shared" si="102"/>
        <v>0</v>
      </c>
      <c r="K205" s="712">
        <f t="shared" si="102"/>
        <v>0</v>
      </c>
      <c r="L205" s="712">
        <f t="shared" si="102"/>
        <v>0</v>
      </c>
      <c r="M205" s="712">
        <f t="shared" si="102"/>
        <v>0</v>
      </c>
      <c r="N205" s="712">
        <f t="shared" si="102"/>
        <v>0</v>
      </c>
      <c r="O205" s="712">
        <f t="shared" si="102"/>
        <v>0</v>
      </c>
      <c r="P205" s="25">
        <f ca="1">+P136</f>
        <v>0</v>
      </c>
      <c r="R205" s="33">
        <f t="shared" si="97"/>
        <v>0</v>
      </c>
      <c r="S205" s="33">
        <f t="shared" si="98"/>
        <v>0</v>
      </c>
    </row>
    <row r="206" spans="3:23" hidden="1" outlineLevel="1" x14ac:dyDescent="0.25">
      <c r="C206" s="2" t="str">
        <f>+C137</f>
        <v>[Platzhalter]</v>
      </c>
      <c r="D206" s="19" t="s">
        <v>37</v>
      </c>
      <c r="G206" s="25">
        <f t="shared" ref="G206:O206" si="103">+G137</f>
        <v>0</v>
      </c>
      <c r="H206" s="25">
        <f t="shared" si="103"/>
        <v>0</v>
      </c>
      <c r="I206" s="25">
        <f t="shared" si="103"/>
        <v>0</v>
      </c>
      <c r="J206" s="25">
        <f t="shared" si="103"/>
        <v>0</v>
      </c>
      <c r="K206" s="712">
        <f t="shared" si="103"/>
        <v>0</v>
      </c>
      <c r="L206" s="712">
        <f t="shared" si="103"/>
        <v>0</v>
      </c>
      <c r="M206" s="712">
        <f t="shared" si="103"/>
        <v>0</v>
      </c>
      <c r="N206" s="712">
        <f t="shared" si="103"/>
        <v>0</v>
      </c>
      <c r="O206" s="712">
        <f t="shared" si="103"/>
        <v>0</v>
      </c>
      <c r="P206" s="25">
        <f ca="1">+P137</f>
        <v>0</v>
      </c>
      <c r="R206" s="33">
        <f t="shared" si="97"/>
        <v>0</v>
      </c>
      <c r="S206" s="33">
        <f t="shared" si="98"/>
        <v>0</v>
      </c>
    </row>
    <row r="207" spans="3:23" hidden="1" outlineLevel="1" x14ac:dyDescent="0.25">
      <c r="C207" s="15" t="s">
        <v>167</v>
      </c>
      <c r="D207" s="16" t="s">
        <v>37</v>
      </c>
      <c r="E207" s="427"/>
      <c r="F207" s="87"/>
      <c r="G207" s="27">
        <f t="shared" ref="G207:O207" si="104">+SUM(G201:G206)</f>
        <v>92.666666666666671</v>
      </c>
      <c r="H207" s="27">
        <f t="shared" si="104"/>
        <v>92.666666666666671</v>
      </c>
      <c r="I207" s="27">
        <f t="shared" si="104"/>
        <v>125.33333333333336</v>
      </c>
      <c r="J207" s="27">
        <f t="shared" si="104"/>
        <v>129.33333333333334</v>
      </c>
      <c r="K207" s="713">
        <f t="shared" si="104"/>
        <v>135.80000000000001</v>
      </c>
      <c r="L207" s="713">
        <f t="shared" si="104"/>
        <v>142.59000000000003</v>
      </c>
      <c r="M207" s="713">
        <f t="shared" si="104"/>
        <v>149.71950000000004</v>
      </c>
      <c r="N207" s="713">
        <f t="shared" si="104"/>
        <v>157.20547500000004</v>
      </c>
      <c r="O207" s="713">
        <f t="shared" si="104"/>
        <v>165.06574875000007</v>
      </c>
      <c r="P207" s="27">
        <f ca="1">+SUM(P201:P206)</f>
        <v>167.54173498125004</v>
      </c>
      <c r="R207" s="82">
        <f t="shared" si="97"/>
        <v>110</v>
      </c>
      <c r="S207" s="82">
        <f t="shared" si="98"/>
        <v>150.07614475000005</v>
      </c>
    </row>
    <row r="208" spans="3:23" hidden="1" outlineLevel="1" x14ac:dyDescent="0.25"/>
    <row r="209" spans="3:23" hidden="1" outlineLevel="1" x14ac:dyDescent="0.25">
      <c r="C209" s="2" t="s">
        <v>69</v>
      </c>
      <c r="D209" s="19" t="s">
        <v>73</v>
      </c>
      <c r="E209" s="420"/>
      <c r="G209" s="25">
        <f t="shared" ref="G209:O209" si="105">+G194/G191*360</f>
        <v>90</v>
      </c>
      <c r="H209" s="25">
        <f t="shared" si="105"/>
        <v>90</v>
      </c>
      <c r="I209" s="25">
        <f t="shared" si="105"/>
        <v>90</v>
      </c>
      <c r="J209" s="25">
        <f t="shared" si="105"/>
        <v>90</v>
      </c>
      <c r="K209" s="712">
        <f t="shared" si="105"/>
        <v>90</v>
      </c>
      <c r="L209" s="712">
        <f t="shared" si="105"/>
        <v>90</v>
      </c>
      <c r="M209" s="712">
        <f t="shared" si="105"/>
        <v>90</v>
      </c>
      <c r="N209" s="712">
        <f t="shared" si="105"/>
        <v>90</v>
      </c>
      <c r="O209" s="712">
        <f t="shared" si="105"/>
        <v>90</v>
      </c>
      <c r="P209" s="25">
        <f ca="1">+P194/P191*360</f>
        <v>90</v>
      </c>
      <c r="R209" s="33">
        <f>+AVERAGE(G209:J209)</f>
        <v>90</v>
      </c>
      <c r="S209" s="33">
        <f>+AVERAGE(K209:O209)</f>
        <v>90</v>
      </c>
      <c r="V209" s="33">
        <f>IFERROR(+AVERAGE(K209:O209),"n/a")</f>
        <v>90</v>
      </c>
      <c r="W209" s="33">
        <f>IFERROR(+MEDIAN(K209:O209),"n/a")</f>
        <v>90</v>
      </c>
    </row>
    <row r="210" spans="3:23" hidden="1" outlineLevel="1" x14ac:dyDescent="0.25">
      <c r="C210" s="2" t="s">
        <v>70</v>
      </c>
      <c r="D210" s="19" t="s">
        <v>74</v>
      </c>
      <c r="E210" s="420"/>
      <c r="G210" s="25">
        <f t="shared" ref="G210:O210" si="106">+G195/G192*360</f>
        <v>720</v>
      </c>
      <c r="H210" s="25">
        <f t="shared" si="106"/>
        <v>720</v>
      </c>
      <c r="I210" s="25">
        <f t="shared" si="106"/>
        <v>720</v>
      </c>
      <c r="J210" s="25">
        <f t="shared" si="106"/>
        <v>720</v>
      </c>
      <c r="K210" s="712">
        <f t="shared" si="106"/>
        <v>748.51485148514848</v>
      </c>
      <c r="L210" s="712">
        <f t="shared" si="106"/>
        <v>778.15900401921408</v>
      </c>
      <c r="M210" s="712">
        <f t="shared" si="106"/>
        <v>808.97718239621258</v>
      </c>
      <c r="N210" s="712">
        <f t="shared" si="106"/>
        <v>841.01588268913179</v>
      </c>
      <c r="O210" s="712">
        <f t="shared" si="106"/>
        <v>874.32344239959252</v>
      </c>
      <c r="P210" s="25">
        <f ca="1">+P195/P192*360</f>
        <v>874.32344239959252</v>
      </c>
      <c r="R210" s="33">
        <f>+AVERAGE(G210:J210)</f>
        <v>720</v>
      </c>
      <c r="S210" s="33">
        <f>+AVERAGE(K210:O210)</f>
        <v>810.19807259785989</v>
      </c>
      <c r="V210" s="33">
        <f>IFERROR(+AVERAGE(K210:O210),"n/a")</f>
        <v>810.19807259785989</v>
      </c>
      <c r="W210" s="33">
        <f>IFERROR(+MEDIAN(K210:O210),"n/a")</f>
        <v>808.97718239621258</v>
      </c>
    </row>
    <row r="211" spans="3:23" hidden="1" outlineLevel="1" x14ac:dyDescent="0.25">
      <c r="C211" s="2" t="s">
        <v>71</v>
      </c>
      <c r="D211" s="19" t="s">
        <v>72</v>
      </c>
      <c r="E211" s="420"/>
      <c r="G211" s="25">
        <f t="shared" ref="G211:O211" si="107">+G196/G191*360</f>
        <v>0</v>
      </c>
      <c r="H211" s="25">
        <f t="shared" si="107"/>
        <v>0</v>
      </c>
      <c r="I211" s="25">
        <f t="shared" si="107"/>
        <v>0</v>
      </c>
      <c r="J211" s="25">
        <f t="shared" si="107"/>
        <v>0</v>
      </c>
      <c r="K211" s="712">
        <f t="shared" si="107"/>
        <v>0</v>
      </c>
      <c r="L211" s="712">
        <f t="shared" si="107"/>
        <v>0</v>
      </c>
      <c r="M211" s="712">
        <f t="shared" si="107"/>
        <v>0</v>
      </c>
      <c r="N211" s="712">
        <f t="shared" si="107"/>
        <v>0</v>
      </c>
      <c r="O211" s="712">
        <f t="shared" si="107"/>
        <v>0</v>
      </c>
      <c r="P211" s="25">
        <f ca="1">+P196/P191*360</f>
        <v>0</v>
      </c>
      <c r="R211" s="33">
        <f>+AVERAGE(G211:J211)</f>
        <v>0</v>
      </c>
      <c r="S211" s="33">
        <f>+AVERAGE(K211:O211)</f>
        <v>0</v>
      </c>
      <c r="V211" s="33">
        <f>IFERROR(+AVERAGE(K211:O211),"n/a")</f>
        <v>0</v>
      </c>
      <c r="W211" s="33">
        <f>IFERROR(+MEDIAN(K211:O211),"n/a")</f>
        <v>0</v>
      </c>
    </row>
    <row r="212" spans="3:23" hidden="1" outlineLevel="1" collapsed="1" x14ac:dyDescent="0.25">
      <c r="C212" s="2" t="s">
        <v>77</v>
      </c>
      <c r="D212" s="19" t="s">
        <v>78</v>
      </c>
      <c r="G212" s="25">
        <f t="shared" ref="G212:O212" si="108">+G201/G192*360</f>
        <v>539.99999999999989</v>
      </c>
      <c r="H212" s="25">
        <f t="shared" si="108"/>
        <v>539.99999999999989</v>
      </c>
      <c r="I212" s="25">
        <f t="shared" si="108"/>
        <v>540</v>
      </c>
      <c r="J212" s="25">
        <f t="shared" si="108"/>
        <v>540</v>
      </c>
      <c r="K212" s="712">
        <f t="shared" si="108"/>
        <v>561.38613861386148</v>
      </c>
      <c r="L212" s="712">
        <f t="shared" si="108"/>
        <v>583.61925301441056</v>
      </c>
      <c r="M212" s="712">
        <f t="shared" si="108"/>
        <v>606.73288679715949</v>
      </c>
      <c r="N212" s="712">
        <f t="shared" si="108"/>
        <v>630.7619120168489</v>
      </c>
      <c r="O212" s="712">
        <f t="shared" si="108"/>
        <v>655.74258179969445</v>
      </c>
      <c r="P212" s="25">
        <f ca="1">+P201/P192*360</f>
        <v>655.74258179969445</v>
      </c>
      <c r="R212" s="33">
        <f>+AVERAGE(G212:J212)</f>
        <v>540</v>
      </c>
      <c r="S212" s="33">
        <f>+AVERAGE(K212:O212)</f>
        <v>607.64855444839498</v>
      </c>
      <c r="V212" s="33">
        <f>IFERROR(+AVERAGE(K212:O212),"n/a")</f>
        <v>607.64855444839498</v>
      </c>
      <c r="W212" s="33">
        <f>IFERROR(+MEDIAN(K212:O212),"n/a")</f>
        <v>606.73288679715949</v>
      </c>
    </row>
    <row r="213" spans="3:23" hidden="1" outlineLevel="1" x14ac:dyDescent="0.25">
      <c r="C213" s="2" t="s">
        <v>79</v>
      </c>
      <c r="D213" s="19" t="s">
        <v>80</v>
      </c>
      <c r="G213" s="25">
        <f t="shared" ref="G213:O213" si="109">+G202/G192*360</f>
        <v>180</v>
      </c>
      <c r="H213" s="25">
        <f t="shared" si="109"/>
        <v>180</v>
      </c>
      <c r="I213" s="25">
        <f t="shared" si="109"/>
        <v>180</v>
      </c>
      <c r="J213" s="25">
        <f t="shared" si="109"/>
        <v>180</v>
      </c>
      <c r="K213" s="712">
        <f t="shared" si="109"/>
        <v>187.12871287128712</v>
      </c>
      <c r="L213" s="712">
        <f t="shared" si="109"/>
        <v>194.53975100480352</v>
      </c>
      <c r="M213" s="712">
        <f t="shared" si="109"/>
        <v>202.24429559905315</v>
      </c>
      <c r="N213" s="712">
        <f t="shared" si="109"/>
        <v>210.25397067228295</v>
      </c>
      <c r="O213" s="712">
        <f t="shared" si="109"/>
        <v>218.58086059989813</v>
      </c>
      <c r="P213" s="25">
        <f ca="1">+P202/P192*360</f>
        <v>218.58086059989813</v>
      </c>
      <c r="R213" s="33">
        <f>+AVERAGE(G213:J213)</f>
        <v>180</v>
      </c>
      <c r="S213" s="33">
        <f>+AVERAGE(K213:O213)</f>
        <v>202.54951814946497</v>
      </c>
      <c r="V213" s="33">
        <f>IFERROR(+AVERAGE(K213:O213),"n/a")</f>
        <v>202.54951814946497</v>
      </c>
      <c r="W213" s="33">
        <f>IFERROR(+MEDIAN(K213:O213),"n/a")</f>
        <v>202.24429559905315</v>
      </c>
    </row>
    <row r="214" spans="3:23" hidden="1" outlineLevel="1" x14ac:dyDescent="0.25"/>
    <row r="215" spans="3:23" hidden="1" outlineLevel="1" x14ac:dyDescent="0.25">
      <c r="C215" s="2" t="s">
        <v>65</v>
      </c>
      <c r="F215" s="89"/>
      <c r="G215" s="34">
        <f t="shared" ref="G215:O215" si="110">+G199-G207</f>
        <v>115.83333333333336</v>
      </c>
      <c r="H215" s="34">
        <f t="shared" si="110"/>
        <v>115.83333333333336</v>
      </c>
      <c r="I215" s="34">
        <f t="shared" si="110"/>
        <v>156.66666666666669</v>
      </c>
      <c r="J215" s="34">
        <f t="shared" si="110"/>
        <v>161.66666666666666</v>
      </c>
      <c r="K215" s="712">
        <f t="shared" si="110"/>
        <v>169.75000000000006</v>
      </c>
      <c r="L215" s="712">
        <f t="shared" si="110"/>
        <v>178.23750000000007</v>
      </c>
      <c r="M215" s="712">
        <f t="shared" si="110"/>
        <v>187.14937500000008</v>
      </c>
      <c r="N215" s="712">
        <f t="shared" si="110"/>
        <v>196.50684375000009</v>
      </c>
      <c r="O215" s="712">
        <f t="shared" si="110"/>
        <v>206.33218593750001</v>
      </c>
      <c r="P215" s="34">
        <f ca="1">+P199-P207</f>
        <v>209.42716872656251</v>
      </c>
      <c r="R215" s="33">
        <f>+AVERAGE(G215:J215)</f>
        <v>137.5</v>
      </c>
      <c r="S215" s="33">
        <f>+AVERAGE(K215:O215)</f>
        <v>187.59518093750006</v>
      </c>
      <c r="V215" s="33">
        <f>IFERROR(+AVERAGE(K215:O215),"n/a")</f>
        <v>187.59518093750006</v>
      </c>
      <c r="W215" s="33">
        <f>IFERROR(+MEDIAN(K215:O215),"n/a")</f>
        <v>187.14937500000008</v>
      </c>
    </row>
    <row r="216" spans="3:23" hidden="1" outlineLevel="1" x14ac:dyDescent="0.25">
      <c r="C216" s="35" t="s">
        <v>81</v>
      </c>
      <c r="D216" s="35"/>
      <c r="E216" s="389"/>
      <c r="F216" s="35"/>
      <c r="G216" s="90"/>
      <c r="H216" s="36">
        <f>+H215-G215</f>
        <v>0</v>
      </c>
      <c r="I216" s="36">
        <f t="shared" ref="I216:O216" si="111">+I215-H215</f>
        <v>40.833333333333329</v>
      </c>
      <c r="J216" s="36">
        <f t="shared" si="111"/>
        <v>4.9999999999999716</v>
      </c>
      <c r="K216" s="713">
        <f>+K215-J215</f>
        <v>8.0833333333333997</v>
      </c>
      <c r="L216" s="713">
        <f t="shared" si="111"/>
        <v>8.4875000000000114</v>
      </c>
      <c r="M216" s="713">
        <f t="shared" si="111"/>
        <v>8.9118750000000091</v>
      </c>
      <c r="N216" s="713">
        <f t="shared" si="111"/>
        <v>9.3574687500000095</v>
      </c>
      <c r="O216" s="713">
        <f t="shared" si="111"/>
        <v>9.8253421874999276</v>
      </c>
      <c r="P216" s="36">
        <f ca="1">+P215-OFFSET(J215,,'2. Input_Allgemein'!$E$36)</f>
        <v>3.0949827890624988</v>
      </c>
      <c r="R216" s="82">
        <f>+AVERAGE(G216:J216)</f>
        <v>15.277777777777766</v>
      </c>
      <c r="S216" s="82">
        <f>+AVERAGE(K216:O216)</f>
        <v>8.9331038541666707</v>
      </c>
      <c r="V216" s="33">
        <f>IFERROR(+AVERAGE(K216:O216),"n/a")</f>
        <v>8.9331038541666707</v>
      </c>
      <c r="W216" s="33">
        <f>IFERROR(+MEDIAN(K216:O216),"n/a")</f>
        <v>8.9118750000000091</v>
      </c>
    </row>
    <row r="217" spans="3:23" hidden="1" outlineLevel="1" x14ac:dyDescent="0.25"/>
    <row r="218" spans="3:23" hidden="1" collapsed="1" x14ac:dyDescent="0.25"/>
    <row r="219" spans="3:23" ht="22.5" hidden="1" outlineLevel="1" x14ac:dyDescent="0.35">
      <c r="C219" s="5" t="s">
        <v>82</v>
      </c>
    </row>
    <row r="220" spans="3:23" hidden="1" outlineLevel="1" x14ac:dyDescent="0.25">
      <c r="R220" s="2" t="s">
        <v>28</v>
      </c>
    </row>
    <row r="221" spans="3:23" hidden="1" outlineLevel="1" x14ac:dyDescent="0.25">
      <c r="G221" s="9"/>
      <c r="H221" s="9"/>
      <c r="I221" s="9"/>
      <c r="J221" s="20" t="s">
        <v>38</v>
      </c>
      <c r="K221" s="708" t="s">
        <v>39</v>
      </c>
      <c r="L221" s="708"/>
      <c r="M221" s="708"/>
      <c r="N221" s="708"/>
      <c r="O221" s="708"/>
      <c r="P221" s="73" t="s">
        <v>104</v>
      </c>
    </row>
    <row r="222" spans="3:23" hidden="1" outlineLevel="1" x14ac:dyDescent="0.25">
      <c r="G222" s="13">
        <f t="shared" ref="G222:O222" ca="1" si="112">+G190</f>
        <v>2023</v>
      </c>
      <c r="H222" s="13">
        <f t="shared" ca="1" si="112"/>
        <v>2024</v>
      </c>
      <c r="I222" s="13">
        <f t="shared" ca="1" si="112"/>
        <v>2025</v>
      </c>
      <c r="J222" s="21">
        <f t="shared" ca="1" si="112"/>
        <v>2026</v>
      </c>
      <c r="K222" s="709">
        <f t="shared" ca="1" si="112"/>
        <v>2027</v>
      </c>
      <c r="L222" s="710">
        <f t="shared" ca="1" si="112"/>
        <v>2028</v>
      </c>
      <c r="M222" s="710">
        <f t="shared" ca="1" si="112"/>
        <v>2029</v>
      </c>
      <c r="N222" s="710">
        <f t="shared" ca="1" si="112"/>
        <v>2030</v>
      </c>
      <c r="O222" s="711">
        <f t="shared" ca="1" si="112"/>
        <v>2031</v>
      </c>
      <c r="P222" s="233">
        <f ca="1">+OFFSET(J222,,'2. Input_Allgemein'!$E$36)+1</f>
        <v>2032</v>
      </c>
    </row>
    <row r="223" spans="3:23" hidden="1" outlineLevel="1" x14ac:dyDescent="0.25">
      <c r="C223" s="2" t="s">
        <v>99</v>
      </c>
      <c r="G223" s="25">
        <f>+'3. Input_Historie'!G74</f>
        <v>320</v>
      </c>
      <c r="H223" s="25">
        <f>+'3. Input_Historie'!H74</f>
        <v>340</v>
      </c>
      <c r="I223" s="25">
        <f>+'3. Input_Historie'!I74</f>
        <v>360</v>
      </c>
      <c r="J223" s="25">
        <f>+'3. Input_Historie'!J74</f>
        <v>380</v>
      </c>
      <c r="K223" s="712">
        <f>MAX(+J223-$J$223/$E$26,0)</f>
        <v>325.71428571428572</v>
      </c>
      <c r="L223" s="712">
        <f>MAX(+K223-$J$223/$E$26,0)</f>
        <v>271.42857142857144</v>
      </c>
      <c r="M223" s="712">
        <f>MAX(+L223-$J$223/$E$26,0)</f>
        <v>217.14285714285717</v>
      </c>
      <c r="N223" s="712">
        <f>MAX(+M223-$J$223/$E$26,0)</f>
        <v>162.85714285714289</v>
      </c>
      <c r="O223" s="712">
        <f>MAX(+N223-$J$223/$E$26,0)</f>
        <v>108.57142857142861</v>
      </c>
      <c r="P223" s="25">
        <f ca="1">MAX(+OFFSET(J223,,'2. Input_Allgemein'!$E$36)-$J$223/$E$26,0)</f>
        <v>54.285714285714327</v>
      </c>
    </row>
    <row r="224" spans="3:23" hidden="1" outlineLevel="1" x14ac:dyDescent="0.25">
      <c r="C224" s="2" t="s">
        <v>91</v>
      </c>
      <c r="G224" s="25">
        <f>'3. Input_Historie'!G41</f>
        <v>-30</v>
      </c>
      <c r="H224" s="25">
        <f>'3. Input_Historie'!H41</f>
        <v>-30</v>
      </c>
      <c r="I224" s="25">
        <f>'3. Input_Historie'!I41</f>
        <v>-30</v>
      </c>
      <c r="J224" s="25">
        <f>'3. Input_Historie'!J41</f>
        <v>-30</v>
      </c>
      <c r="K224" s="712">
        <f>+K223-J223</f>
        <v>-54.285714285714278</v>
      </c>
      <c r="L224" s="712">
        <f>+L223-K223</f>
        <v>-54.285714285714278</v>
      </c>
      <c r="M224" s="712">
        <f>+M223-L223</f>
        <v>-54.285714285714278</v>
      </c>
      <c r="N224" s="712">
        <f>+N223-M223</f>
        <v>-54.285714285714278</v>
      </c>
      <c r="O224" s="712">
        <f>+O223-N223</f>
        <v>-54.285714285714278</v>
      </c>
      <c r="P224" s="25">
        <f ca="1">+P223-OFFSET(J223,,'2. Input_Allgemein'!$E$36)</f>
        <v>-54.285714285714285</v>
      </c>
    </row>
    <row r="225" spans="3:16" hidden="1" outlineLevel="1" x14ac:dyDescent="0.25">
      <c r="C225" s="2" t="s">
        <v>85</v>
      </c>
      <c r="G225" s="90"/>
      <c r="H225" s="25">
        <f>-(G223-H223+H224)</f>
        <v>50</v>
      </c>
      <c r="I225" s="25">
        <f>-(H223-I223+I224)</f>
        <v>50</v>
      </c>
      <c r="J225" s="25">
        <f>-(I223-J223+J224)</f>
        <v>50</v>
      </c>
      <c r="K225" s="714"/>
      <c r="L225" s="714"/>
      <c r="M225" s="714"/>
      <c r="N225" s="714"/>
      <c r="O225" s="714"/>
      <c r="P225" s="221"/>
    </row>
    <row r="226" spans="3:16" hidden="1" outlineLevel="1" x14ac:dyDescent="0.25"/>
    <row r="227" spans="3:16" hidden="1" outlineLevel="1" x14ac:dyDescent="0.25">
      <c r="C227" s="2" t="s">
        <v>90</v>
      </c>
      <c r="G227" s="90"/>
      <c r="H227" s="90"/>
      <c r="I227" s="90"/>
      <c r="J227" s="90"/>
      <c r="K227" s="712">
        <f ca="1">-K239</f>
        <v>-19.400000000000006</v>
      </c>
      <c r="L227" s="712">
        <f ca="1">-L239</f>
        <v>-39.77000000000001</v>
      </c>
      <c r="M227" s="712">
        <f ca="1">-M239</f>
        <v>-61.158500000000018</v>
      </c>
      <c r="N227" s="712">
        <f ca="1">-N239</f>
        <v>-83.616425000000021</v>
      </c>
      <c r="O227" s="712">
        <f ca="1">-O239</f>
        <v>-107.19724625000003</v>
      </c>
      <c r="P227" s="25">
        <f ca="1">-+OFFSET(J239,,'2. Input_Allgemein'!$E$36)</f>
        <v>-107.19724625000003</v>
      </c>
    </row>
    <row r="228" spans="3:16" hidden="1" outlineLevel="1" x14ac:dyDescent="0.25">
      <c r="C228" s="2" t="s">
        <v>85</v>
      </c>
      <c r="G228" s="90"/>
      <c r="H228" s="90"/>
      <c r="I228" s="90"/>
      <c r="J228" s="90"/>
      <c r="K228" s="712">
        <f t="shared" ref="K228:O228" si="113">+K101</f>
        <v>135.80000000000004</v>
      </c>
      <c r="L228" s="712">
        <f t="shared" si="113"/>
        <v>142.59000000000003</v>
      </c>
      <c r="M228" s="712">
        <f t="shared" si="113"/>
        <v>149.71950000000004</v>
      </c>
      <c r="N228" s="712">
        <f t="shared" si="113"/>
        <v>157.20547500000006</v>
      </c>
      <c r="O228" s="712">
        <f t="shared" si="113"/>
        <v>165.06574875000007</v>
      </c>
      <c r="P228" s="25">
        <f ca="1">+P101</f>
        <v>167.54173498125004</v>
      </c>
    </row>
    <row r="229" spans="3:16" hidden="1" outlineLevel="1" x14ac:dyDescent="0.25"/>
    <row r="230" spans="3:16" hidden="1" outlineLevel="1" x14ac:dyDescent="0.25">
      <c r="C230" s="15" t="s">
        <v>92</v>
      </c>
      <c r="D230" s="15"/>
      <c r="E230" s="425"/>
      <c r="F230" s="15"/>
      <c r="G230" s="27">
        <f t="shared" ref="G230:J230" si="114">+G227+G224</f>
        <v>-30</v>
      </c>
      <c r="H230" s="27">
        <f t="shared" si="114"/>
        <v>-30</v>
      </c>
      <c r="I230" s="27">
        <f t="shared" si="114"/>
        <v>-30</v>
      </c>
      <c r="J230" s="27">
        <f t="shared" si="114"/>
        <v>-30</v>
      </c>
      <c r="K230" s="713">
        <f t="shared" ref="K230:P230" ca="1" si="115">+K227+K224</f>
        <v>-73.685714285714283</v>
      </c>
      <c r="L230" s="713">
        <f t="shared" ca="1" si="115"/>
        <v>-94.055714285714288</v>
      </c>
      <c r="M230" s="713">
        <f t="shared" ca="1" si="115"/>
        <v>-115.4442142857143</v>
      </c>
      <c r="N230" s="713">
        <f t="shared" ca="1" si="115"/>
        <v>-137.9021392857143</v>
      </c>
      <c r="O230" s="713">
        <f t="shared" ca="1" si="115"/>
        <v>-161.48296053571431</v>
      </c>
      <c r="P230" s="27">
        <f t="shared" ca="1" si="115"/>
        <v>-161.48296053571431</v>
      </c>
    </row>
    <row r="231" spans="3:16" hidden="1" outlineLevel="1" x14ac:dyDescent="0.25"/>
    <row r="232" spans="3:16" hidden="1" outlineLevel="1" x14ac:dyDescent="0.25">
      <c r="I232" s="2" t="s">
        <v>63</v>
      </c>
      <c r="J232" s="2" t="s">
        <v>87</v>
      </c>
    </row>
    <row r="233" spans="3:16" hidden="1" outlineLevel="1" x14ac:dyDescent="0.25">
      <c r="C233" s="2" t="s">
        <v>86</v>
      </c>
      <c r="I233" s="38">
        <f ca="1">+K222</f>
        <v>2027</v>
      </c>
      <c r="J233" s="91">
        <f t="shared" ref="J233:J238" ca="1" si="116">+SUM(K233:P233)</f>
        <v>19.400000000000006</v>
      </c>
      <c r="K233" s="715">
        <f t="shared" ref="K233:P238" ca="1" si="117">+K$228/$E$27*K242</f>
        <v>19.400000000000006</v>
      </c>
      <c r="L233" s="715">
        <f t="shared" ca="1" si="117"/>
        <v>0</v>
      </c>
      <c r="M233" s="715">
        <f t="shared" ca="1" si="117"/>
        <v>0</v>
      </c>
      <c r="N233" s="715">
        <f t="shared" ca="1" si="117"/>
        <v>0</v>
      </c>
      <c r="O233" s="715">
        <f t="shared" ca="1" si="117"/>
        <v>0</v>
      </c>
      <c r="P233" s="32">
        <f t="shared" ca="1" si="117"/>
        <v>0</v>
      </c>
    </row>
    <row r="234" spans="3:16" hidden="1" outlineLevel="1" x14ac:dyDescent="0.25">
      <c r="I234" s="37">
        <f ca="1">+L222</f>
        <v>2028</v>
      </c>
      <c r="J234" s="91">
        <f t="shared" ca="1" si="116"/>
        <v>39.77000000000001</v>
      </c>
      <c r="K234" s="715">
        <f t="shared" ca="1" si="117"/>
        <v>19.400000000000006</v>
      </c>
      <c r="L234" s="715">
        <f t="shared" ca="1" si="117"/>
        <v>20.370000000000005</v>
      </c>
      <c r="M234" s="715">
        <f t="shared" ca="1" si="117"/>
        <v>0</v>
      </c>
      <c r="N234" s="715">
        <f t="shared" ca="1" si="117"/>
        <v>0</v>
      </c>
      <c r="O234" s="715">
        <f t="shared" ca="1" si="117"/>
        <v>0</v>
      </c>
      <c r="P234" s="32">
        <f t="shared" ca="1" si="117"/>
        <v>0</v>
      </c>
    </row>
    <row r="235" spans="3:16" hidden="1" outlineLevel="1" x14ac:dyDescent="0.25">
      <c r="I235" s="37">
        <f ca="1">+M222</f>
        <v>2029</v>
      </c>
      <c r="J235" s="91">
        <f t="shared" ca="1" si="116"/>
        <v>61.158500000000018</v>
      </c>
      <c r="K235" s="715">
        <f t="shared" ca="1" si="117"/>
        <v>19.400000000000006</v>
      </c>
      <c r="L235" s="715">
        <f t="shared" ca="1" si="117"/>
        <v>20.370000000000005</v>
      </c>
      <c r="M235" s="715">
        <f t="shared" ca="1" si="117"/>
        <v>21.388500000000004</v>
      </c>
      <c r="N235" s="715">
        <f t="shared" ca="1" si="117"/>
        <v>0</v>
      </c>
      <c r="O235" s="715">
        <f t="shared" ca="1" si="117"/>
        <v>0</v>
      </c>
      <c r="P235" s="32">
        <f t="shared" ca="1" si="117"/>
        <v>0</v>
      </c>
    </row>
    <row r="236" spans="3:16" hidden="1" outlineLevel="1" x14ac:dyDescent="0.25">
      <c r="I236" s="37">
        <f ca="1">+N222</f>
        <v>2030</v>
      </c>
      <c r="J236" s="91">
        <f t="shared" ca="1" si="116"/>
        <v>83.616425000000021</v>
      </c>
      <c r="K236" s="715">
        <f t="shared" ca="1" si="117"/>
        <v>19.400000000000006</v>
      </c>
      <c r="L236" s="715">
        <f t="shared" ca="1" si="117"/>
        <v>20.370000000000005</v>
      </c>
      <c r="M236" s="715">
        <f t="shared" ca="1" si="117"/>
        <v>21.388500000000004</v>
      </c>
      <c r="N236" s="715">
        <f t="shared" ca="1" si="117"/>
        <v>22.45792500000001</v>
      </c>
      <c r="O236" s="715">
        <f t="shared" ca="1" si="117"/>
        <v>0</v>
      </c>
      <c r="P236" s="32">
        <f t="shared" ca="1" si="117"/>
        <v>0</v>
      </c>
    </row>
    <row r="237" spans="3:16" hidden="1" outlineLevel="1" x14ac:dyDescent="0.25">
      <c r="I237" s="37">
        <f ca="1">+O222</f>
        <v>2031</v>
      </c>
      <c r="J237" s="91">
        <f t="shared" ca="1" si="116"/>
        <v>107.19724625000003</v>
      </c>
      <c r="K237" s="715">
        <f t="shared" ca="1" si="117"/>
        <v>19.400000000000006</v>
      </c>
      <c r="L237" s="715">
        <f t="shared" ca="1" si="117"/>
        <v>20.370000000000005</v>
      </c>
      <c r="M237" s="715">
        <f t="shared" ca="1" si="117"/>
        <v>21.388500000000004</v>
      </c>
      <c r="N237" s="715">
        <f t="shared" ca="1" si="117"/>
        <v>22.45792500000001</v>
      </c>
      <c r="O237" s="715">
        <f t="shared" ca="1" si="117"/>
        <v>23.58082125000001</v>
      </c>
      <c r="P237" s="32">
        <f t="shared" ca="1" si="117"/>
        <v>0</v>
      </c>
    </row>
    <row r="238" spans="3:16" hidden="1" outlineLevel="1" x14ac:dyDescent="0.25">
      <c r="I238" s="66">
        <f ca="1">+I237+1</f>
        <v>2032</v>
      </c>
      <c r="J238" s="91">
        <f t="shared" ca="1" si="116"/>
        <v>131.13177981875003</v>
      </c>
      <c r="K238" s="715">
        <f t="shared" ca="1" si="117"/>
        <v>19.400000000000006</v>
      </c>
      <c r="L238" s="715">
        <f t="shared" ca="1" si="117"/>
        <v>20.370000000000005</v>
      </c>
      <c r="M238" s="715">
        <f t="shared" ca="1" si="117"/>
        <v>21.388500000000004</v>
      </c>
      <c r="N238" s="715">
        <f t="shared" ca="1" si="117"/>
        <v>22.45792500000001</v>
      </c>
      <c r="O238" s="715">
        <f t="shared" ca="1" si="117"/>
        <v>23.58082125000001</v>
      </c>
      <c r="P238" s="32">
        <f t="shared" ca="1" si="117"/>
        <v>23.934533568750005</v>
      </c>
    </row>
    <row r="239" spans="3:16" hidden="1" outlineLevel="1" x14ac:dyDescent="0.25">
      <c r="J239" s="8" t="s">
        <v>89</v>
      </c>
      <c r="K239" s="716" cm="1">
        <f t="array" aca="1" ref="K239:P239" ca="1">TRANSPOSE(J233:J238)</f>
        <v>19.400000000000006</v>
      </c>
      <c r="L239" s="716">
        <f ca="1"/>
        <v>39.77000000000001</v>
      </c>
      <c r="M239" s="716">
        <f ca="1"/>
        <v>61.158500000000018</v>
      </c>
      <c r="N239" s="716">
        <f ca="1"/>
        <v>83.616425000000021</v>
      </c>
      <c r="O239" s="716">
        <f ca="1"/>
        <v>107.19724625000003</v>
      </c>
      <c r="P239" s="79">
        <f ca="1"/>
        <v>131.13177981875003</v>
      </c>
    </row>
    <row r="240" spans="3:16" hidden="1" outlineLevel="1" x14ac:dyDescent="0.25"/>
    <row r="241" spans="3:16" hidden="1" outlineLevel="1" x14ac:dyDescent="0.25">
      <c r="I241" s="2" t="s">
        <v>63</v>
      </c>
      <c r="J241" s="2" t="s">
        <v>88</v>
      </c>
    </row>
    <row r="242" spans="3:16" hidden="1" outlineLevel="1" x14ac:dyDescent="0.25">
      <c r="I242" s="38">
        <f t="shared" ref="I242:I247" ca="1" si="118">+I233</f>
        <v>2027</v>
      </c>
      <c r="J242" s="91">
        <f t="shared" ref="J242:J247" ca="1" si="119">+SUM(K242:O242)</f>
        <v>1</v>
      </c>
      <c r="K242" s="717">
        <f t="shared" ref="K242:P247" ca="1" si="120">IF(($I242-K$222&lt;$E$27)*K$222&lt;=$I242,1,0)</f>
        <v>1</v>
      </c>
      <c r="L242" s="717">
        <f t="shared" ca="1" si="120"/>
        <v>0</v>
      </c>
      <c r="M242" s="717">
        <f t="shared" ca="1" si="120"/>
        <v>0</v>
      </c>
      <c r="N242" s="717">
        <f t="shared" ca="1" si="120"/>
        <v>0</v>
      </c>
      <c r="O242" s="717">
        <f t="shared" ca="1" si="120"/>
        <v>0</v>
      </c>
      <c r="P242" s="25">
        <f t="shared" ca="1" si="120"/>
        <v>0</v>
      </c>
    </row>
    <row r="243" spans="3:16" hidden="1" outlineLevel="1" x14ac:dyDescent="0.25">
      <c r="I243" s="37">
        <f t="shared" ca="1" si="118"/>
        <v>2028</v>
      </c>
      <c r="J243" s="91">
        <f t="shared" ca="1" si="119"/>
        <v>2</v>
      </c>
      <c r="K243" s="717">
        <f t="shared" ca="1" si="120"/>
        <v>1</v>
      </c>
      <c r="L243" s="717">
        <f t="shared" ca="1" si="120"/>
        <v>1</v>
      </c>
      <c r="M243" s="717">
        <f t="shared" ca="1" si="120"/>
        <v>0</v>
      </c>
      <c r="N243" s="717">
        <f t="shared" ca="1" si="120"/>
        <v>0</v>
      </c>
      <c r="O243" s="717">
        <f t="shared" ca="1" si="120"/>
        <v>0</v>
      </c>
      <c r="P243" s="25">
        <f t="shared" ca="1" si="120"/>
        <v>0</v>
      </c>
    </row>
    <row r="244" spans="3:16" hidden="1" outlineLevel="1" x14ac:dyDescent="0.25">
      <c r="I244" s="37">
        <f t="shared" ca="1" si="118"/>
        <v>2029</v>
      </c>
      <c r="J244" s="91">
        <f t="shared" ca="1" si="119"/>
        <v>3</v>
      </c>
      <c r="K244" s="717">
        <f t="shared" ca="1" si="120"/>
        <v>1</v>
      </c>
      <c r="L244" s="717">
        <f t="shared" ca="1" si="120"/>
        <v>1</v>
      </c>
      <c r="M244" s="717">
        <f t="shared" ca="1" si="120"/>
        <v>1</v>
      </c>
      <c r="N244" s="717">
        <f t="shared" ca="1" si="120"/>
        <v>0</v>
      </c>
      <c r="O244" s="717">
        <f t="shared" ca="1" si="120"/>
        <v>0</v>
      </c>
      <c r="P244" s="25">
        <f t="shared" ca="1" si="120"/>
        <v>0</v>
      </c>
    </row>
    <row r="245" spans="3:16" hidden="1" outlineLevel="1" x14ac:dyDescent="0.25">
      <c r="I245" s="37">
        <f t="shared" ca="1" si="118"/>
        <v>2030</v>
      </c>
      <c r="J245" s="91">
        <f t="shared" ca="1" si="119"/>
        <v>4</v>
      </c>
      <c r="K245" s="717">
        <f t="shared" ca="1" si="120"/>
        <v>1</v>
      </c>
      <c r="L245" s="717">
        <f t="shared" ca="1" si="120"/>
        <v>1</v>
      </c>
      <c r="M245" s="717">
        <f t="shared" ca="1" si="120"/>
        <v>1</v>
      </c>
      <c r="N245" s="717">
        <f t="shared" ca="1" si="120"/>
        <v>1</v>
      </c>
      <c r="O245" s="717">
        <f t="shared" ca="1" si="120"/>
        <v>0</v>
      </c>
      <c r="P245" s="25">
        <f t="shared" ca="1" si="120"/>
        <v>0</v>
      </c>
    </row>
    <row r="246" spans="3:16" hidden="1" outlineLevel="1" x14ac:dyDescent="0.25">
      <c r="I246" s="37">
        <f t="shared" ca="1" si="118"/>
        <v>2031</v>
      </c>
      <c r="J246" s="91">
        <f t="shared" ca="1" si="119"/>
        <v>5</v>
      </c>
      <c r="K246" s="717">
        <f t="shared" ca="1" si="120"/>
        <v>1</v>
      </c>
      <c r="L246" s="717">
        <f t="shared" ca="1" si="120"/>
        <v>1</v>
      </c>
      <c r="M246" s="717">
        <f t="shared" ca="1" si="120"/>
        <v>1</v>
      </c>
      <c r="N246" s="717">
        <f t="shared" ca="1" si="120"/>
        <v>1</v>
      </c>
      <c r="O246" s="717">
        <f t="shared" ca="1" si="120"/>
        <v>1</v>
      </c>
      <c r="P246" s="25">
        <f t="shared" ca="1" si="120"/>
        <v>0</v>
      </c>
    </row>
    <row r="247" spans="3:16" hidden="1" outlineLevel="1" x14ac:dyDescent="0.25">
      <c r="I247" s="37">
        <f t="shared" ca="1" si="118"/>
        <v>2032</v>
      </c>
      <c r="J247" s="91">
        <f t="shared" ca="1" si="119"/>
        <v>5</v>
      </c>
      <c r="K247" s="717">
        <f t="shared" ca="1" si="120"/>
        <v>1</v>
      </c>
      <c r="L247" s="717">
        <f t="shared" ca="1" si="120"/>
        <v>1</v>
      </c>
      <c r="M247" s="717">
        <f t="shared" ca="1" si="120"/>
        <v>1</v>
      </c>
      <c r="N247" s="717">
        <f t="shared" ca="1" si="120"/>
        <v>1</v>
      </c>
      <c r="O247" s="717">
        <f t="shared" ca="1" si="120"/>
        <v>1</v>
      </c>
      <c r="P247" s="25">
        <f t="shared" ca="1" si="120"/>
        <v>1</v>
      </c>
    </row>
    <row r="248" spans="3:16" hidden="1" collapsed="1" x14ac:dyDescent="0.25"/>
    <row r="249" spans="3:16" ht="22.5" hidden="1" outlineLevel="1" x14ac:dyDescent="0.35">
      <c r="C249" s="5" t="s">
        <v>201</v>
      </c>
    </row>
    <row r="250" spans="3:16" hidden="1" outlineLevel="1" x14ac:dyDescent="0.25">
      <c r="G250" s="9"/>
      <c r="H250" s="9"/>
      <c r="I250" s="9"/>
      <c r="J250" s="20" t="s">
        <v>38</v>
      </c>
      <c r="K250" s="708" t="s">
        <v>39</v>
      </c>
      <c r="L250" s="708"/>
      <c r="M250" s="708"/>
      <c r="N250" s="708"/>
      <c r="O250" s="708"/>
      <c r="P250" s="73" t="s">
        <v>104</v>
      </c>
    </row>
    <row r="251" spans="3:16" hidden="1" outlineLevel="1" x14ac:dyDescent="0.25">
      <c r="G251" s="68">
        <f t="shared" ref="G251:O251" ca="1" si="121">+G222</f>
        <v>2023</v>
      </c>
      <c r="H251" s="68">
        <f t="shared" ca="1" si="121"/>
        <v>2024</v>
      </c>
      <c r="I251" s="68">
        <f t="shared" ca="1" si="121"/>
        <v>2025</v>
      </c>
      <c r="J251" s="20">
        <f t="shared" ca="1" si="121"/>
        <v>2026</v>
      </c>
      <c r="K251" s="718">
        <f t="shared" ca="1" si="121"/>
        <v>2027</v>
      </c>
      <c r="L251" s="719">
        <f t="shared" ca="1" si="121"/>
        <v>2028</v>
      </c>
      <c r="M251" s="719">
        <f t="shared" ca="1" si="121"/>
        <v>2029</v>
      </c>
      <c r="N251" s="719">
        <f t="shared" ca="1" si="121"/>
        <v>2030</v>
      </c>
      <c r="O251" s="720">
        <f t="shared" ca="1" si="121"/>
        <v>2031</v>
      </c>
      <c r="P251" s="233">
        <f ca="1">+OFFSET(J251,,'2. Input_Allgemein'!$E$36)+1</f>
        <v>2032</v>
      </c>
    </row>
    <row r="252" spans="3:16" hidden="1" outlineLevel="1" x14ac:dyDescent="0.25">
      <c r="C252" s="35" t="s">
        <v>191</v>
      </c>
      <c r="D252" s="35"/>
      <c r="E252" s="389"/>
      <c r="F252" s="35"/>
      <c r="G252" s="90"/>
      <c r="H252" s="36">
        <f t="shared" ref="H252:K252" si="122">+G266</f>
        <v>0</v>
      </c>
      <c r="I252" s="36">
        <f t="shared" si="122"/>
        <v>-240.43333333333351</v>
      </c>
      <c r="J252" s="36">
        <f t="shared" si="122"/>
        <v>-373.13333333333355</v>
      </c>
      <c r="K252" s="713">
        <f t="shared" si="122"/>
        <v>-325.00000000000011</v>
      </c>
      <c r="L252" s="713">
        <f ca="1">+K266</f>
        <v>-384.86428571428587</v>
      </c>
      <c r="M252" s="713">
        <f ca="1">+L266</f>
        <v>-384.86428571428587</v>
      </c>
      <c r="N252" s="713">
        <f ca="1">+M266</f>
        <v>-384.86428571428587</v>
      </c>
      <c r="O252" s="713">
        <f ca="1">+N266</f>
        <v>-384.86428571428593</v>
      </c>
      <c r="P252" s="36">
        <f ca="1">OFFSET(J266,,'2. Input_Allgemein'!$E$36)</f>
        <v>-384.86428571428604</v>
      </c>
    </row>
    <row r="253" spans="3:16" hidden="1" outlineLevel="1" x14ac:dyDescent="0.25"/>
    <row r="254" spans="3:16" hidden="1" outlineLevel="1" x14ac:dyDescent="0.25">
      <c r="C254" s="42" t="s">
        <v>514</v>
      </c>
      <c r="G254" s="90"/>
      <c r="H254" s="25">
        <f t="shared" ref="H254:J254" si="123">+G105-H105</f>
        <v>-20</v>
      </c>
      <c r="I254" s="25">
        <f t="shared" si="123"/>
        <v>-20</v>
      </c>
      <c r="J254" s="25">
        <f t="shared" si="123"/>
        <v>-20</v>
      </c>
      <c r="K254" s="712">
        <f ca="1">+J105-K105</f>
        <v>-62.114285714285757</v>
      </c>
      <c r="L254" s="712">
        <f ca="1">+K105-L105</f>
        <v>-48.534285714285716</v>
      </c>
      <c r="M254" s="712">
        <f ca="1">+L105-M105</f>
        <v>-34.275285714285701</v>
      </c>
      <c r="N254" s="712">
        <f ca="1">+M105-N105</f>
        <v>-19.303335714285822</v>
      </c>
      <c r="O254" s="712">
        <f ca="1">+N105-O105</f>
        <v>-3.5827882142858698</v>
      </c>
      <c r="P254" s="25">
        <f ca="1">+OFFSET(J105,,'2. Input_Allgemein'!$E$36)-P105</f>
        <v>-6.0587744455358461</v>
      </c>
    </row>
    <row r="255" spans="3:16" hidden="1" outlineLevel="1" x14ac:dyDescent="0.25"/>
    <row r="256" spans="3:16" hidden="1" outlineLevel="1" x14ac:dyDescent="0.25">
      <c r="C256" s="2" t="s">
        <v>200</v>
      </c>
      <c r="G256" s="90"/>
      <c r="H256" s="25">
        <f t="shared" ref="H256:O256" si="124">-H216</f>
        <v>0</v>
      </c>
      <c r="I256" s="25">
        <f t="shared" si="124"/>
        <v>-40.833333333333329</v>
      </c>
      <c r="J256" s="25">
        <f t="shared" si="124"/>
        <v>-4.9999999999999716</v>
      </c>
      <c r="K256" s="712">
        <f t="shared" si="124"/>
        <v>-8.0833333333333997</v>
      </c>
      <c r="L256" s="712">
        <f t="shared" si="124"/>
        <v>-8.4875000000000114</v>
      </c>
      <c r="M256" s="712">
        <f t="shared" si="124"/>
        <v>-8.9118750000000091</v>
      </c>
      <c r="N256" s="712">
        <f t="shared" si="124"/>
        <v>-9.3574687500000095</v>
      </c>
      <c r="O256" s="712">
        <f t="shared" si="124"/>
        <v>-9.8253421874999276</v>
      </c>
      <c r="P256" s="25">
        <f ca="1">-P216</f>
        <v>-3.0949827890624988</v>
      </c>
    </row>
    <row r="257" spans="3:16" hidden="1" outlineLevel="1" x14ac:dyDescent="0.25"/>
    <row r="258" spans="3:16" hidden="1" outlineLevel="1" x14ac:dyDescent="0.25">
      <c r="C258" s="2" t="s">
        <v>141</v>
      </c>
      <c r="G258" s="90"/>
      <c r="H258" s="25">
        <f t="shared" ref="H258:O258" si="125">+H154-G154</f>
        <v>0</v>
      </c>
      <c r="I258" s="25">
        <f t="shared" si="125"/>
        <v>0</v>
      </c>
      <c r="J258" s="25">
        <f t="shared" si="125"/>
        <v>0</v>
      </c>
      <c r="K258" s="712">
        <f t="shared" si="125"/>
        <v>100</v>
      </c>
      <c r="L258" s="712">
        <f t="shared" si="125"/>
        <v>0</v>
      </c>
      <c r="M258" s="712">
        <f t="shared" si="125"/>
        <v>0</v>
      </c>
      <c r="N258" s="712">
        <f t="shared" si="125"/>
        <v>0</v>
      </c>
      <c r="O258" s="712">
        <f t="shared" si="125"/>
        <v>0</v>
      </c>
      <c r="P258" s="104">
        <f ca="1">+P154-OFFSET(J154,,'2. Input_Allgemein'!$E$36)</f>
        <v>2.9999999999999716</v>
      </c>
    </row>
    <row r="259" spans="3:16" hidden="1" outlineLevel="1" x14ac:dyDescent="0.25">
      <c r="C259" s="2" t="s">
        <v>142</v>
      </c>
      <c r="G259" s="90"/>
      <c r="H259" s="25">
        <f t="shared" ref="H259:O259" si="126">+H143-G143</f>
        <v>0</v>
      </c>
      <c r="I259" s="25">
        <f t="shared" si="126"/>
        <v>0</v>
      </c>
      <c r="J259" s="25">
        <f t="shared" si="126"/>
        <v>0</v>
      </c>
      <c r="K259" s="712">
        <f t="shared" si="126"/>
        <v>0</v>
      </c>
      <c r="L259" s="712">
        <f t="shared" si="126"/>
        <v>0</v>
      </c>
      <c r="M259" s="712">
        <f t="shared" si="126"/>
        <v>0</v>
      </c>
      <c r="N259" s="712">
        <f t="shared" si="126"/>
        <v>0</v>
      </c>
      <c r="O259" s="712">
        <f t="shared" si="126"/>
        <v>0</v>
      </c>
      <c r="P259" s="25">
        <f ca="1">+P143-OFFSET(J143,,'2. Input_Allgemein'!$E$36)</f>
        <v>0</v>
      </c>
    </row>
    <row r="260" spans="3:16" hidden="1" outlineLevel="1" x14ac:dyDescent="0.25">
      <c r="C260" s="2" t="s">
        <v>143</v>
      </c>
      <c r="G260" s="90"/>
      <c r="H260" s="25">
        <f t="shared" ref="H260:O260" si="127">+G108-H108</f>
        <v>0</v>
      </c>
      <c r="I260" s="25">
        <f t="shared" si="127"/>
        <v>0</v>
      </c>
      <c r="J260" s="25">
        <f t="shared" si="127"/>
        <v>0</v>
      </c>
      <c r="K260" s="712">
        <f t="shared" si="127"/>
        <v>0</v>
      </c>
      <c r="L260" s="712">
        <f t="shared" si="127"/>
        <v>0</v>
      </c>
      <c r="M260" s="712">
        <f t="shared" si="127"/>
        <v>0</v>
      </c>
      <c r="N260" s="712">
        <f t="shared" si="127"/>
        <v>0</v>
      </c>
      <c r="O260" s="712">
        <f t="shared" si="127"/>
        <v>0</v>
      </c>
      <c r="P260" s="104">
        <f ca="1">+OFFSET(J108,,'2. Input_Allgemein'!$E$36)-P108+OFFSET(J117,,'2. Input_Allgemein'!$E$36)-P117</f>
        <v>-7.1249999999999432</v>
      </c>
    </row>
    <row r="261" spans="3:16" hidden="1" outlineLevel="1" x14ac:dyDescent="0.25"/>
    <row r="262" spans="3:16" hidden="1" outlineLevel="1" x14ac:dyDescent="0.25">
      <c r="C262" s="2" t="s">
        <v>144</v>
      </c>
      <c r="G262" s="90"/>
      <c r="H262" s="25">
        <f t="shared" ref="H262:J262" si="128">+H132-G132</f>
        <v>101.79999999999995</v>
      </c>
      <c r="I262" s="25">
        <f t="shared" si="128"/>
        <v>155.60000000000002</v>
      </c>
      <c r="J262" s="25">
        <f t="shared" si="128"/>
        <v>162.80000000000007</v>
      </c>
      <c r="K262" s="712">
        <f ca="1">+K132-J132</f>
        <v>0</v>
      </c>
      <c r="L262" s="712">
        <f ca="1">+L132-K132</f>
        <v>57.021785714285727</v>
      </c>
      <c r="M262" s="712">
        <f ca="1">+M132-L132</f>
        <v>43.18716071428571</v>
      </c>
      <c r="N262" s="712">
        <f ca="1">+N132-M132</f>
        <v>28.660804464285775</v>
      </c>
      <c r="O262" s="712">
        <f ca="1">+O132-N132</f>
        <v>13.408130401785684</v>
      </c>
      <c r="P262" s="25">
        <f ca="1">+P132-OFFSET(J132,,'2. Input_Allgemein'!$E$36)</f>
        <v>3.0587744455358461</v>
      </c>
    </row>
    <row r="263" spans="3:16" hidden="1" outlineLevel="1" x14ac:dyDescent="0.25"/>
    <row r="264" spans="3:16" hidden="1" outlineLevel="1" x14ac:dyDescent="0.25">
      <c r="C264" s="2" t="s">
        <v>206</v>
      </c>
      <c r="G264" s="90"/>
      <c r="H264" s="25">
        <f>MIN(H117-$E$35,0)</f>
        <v>-322.23333333333346</v>
      </c>
      <c r="I264" s="25">
        <f>MIN(I117-$E$35,0)</f>
        <v>-227.46666666666678</v>
      </c>
      <c r="J264" s="25">
        <f>MIN(J117-$E$35,0)</f>
        <v>-89.666666666666657</v>
      </c>
      <c r="K264" s="712">
        <f>MIN(J117-$E$35,0)</f>
        <v>-89.666666666666657</v>
      </c>
      <c r="L264" s="712">
        <f ca="1">MIN(K117-$E$35,0)</f>
        <v>0</v>
      </c>
      <c r="M264" s="712">
        <f ca="1">MIN(L117-$E$35,0)</f>
        <v>0</v>
      </c>
      <c r="N264" s="712">
        <f ca="1">MIN(M117-$E$35,0)</f>
        <v>0</v>
      </c>
      <c r="O264" s="712">
        <f ca="1">MIN(N117-$E$35,0)</f>
        <v>0</v>
      </c>
      <c r="P264" s="25">
        <f ca="1">MIN(OFFSET(J117,,'2. Input_Allgemein'!$E$36)-$E$35,0)</f>
        <v>0</v>
      </c>
    </row>
    <row r="265" spans="3:16" hidden="1" outlineLevel="1" x14ac:dyDescent="0.25"/>
    <row r="266" spans="3:16" hidden="1" outlineLevel="1" x14ac:dyDescent="0.25">
      <c r="C266" s="35" t="s">
        <v>190</v>
      </c>
      <c r="D266" s="35"/>
      <c r="E266" s="389"/>
      <c r="F266" s="35"/>
      <c r="G266" s="90"/>
      <c r="H266" s="36">
        <f t="shared" ref="H266:J266" si="129">H252+H254+H256+H258+H259+H260+H262+H264</f>
        <v>-240.43333333333351</v>
      </c>
      <c r="I266" s="36">
        <f t="shared" si="129"/>
        <v>-373.13333333333355</v>
      </c>
      <c r="J266" s="36">
        <f t="shared" si="129"/>
        <v>-325.00000000000011</v>
      </c>
      <c r="K266" s="713">
        <f t="shared" ref="K266:P266" ca="1" si="130">K252+K254+K256+K258+K259+K260+K262+K264</f>
        <v>-384.86428571428587</v>
      </c>
      <c r="L266" s="713">
        <f t="shared" ca="1" si="130"/>
        <v>-384.86428571428587</v>
      </c>
      <c r="M266" s="713">
        <f t="shared" ca="1" si="130"/>
        <v>-384.86428571428587</v>
      </c>
      <c r="N266" s="713">
        <f t="shared" ca="1" si="130"/>
        <v>-384.86428571428593</v>
      </c>
      <c r="O266" s="713">
        <f t="shared" ca="1" si="130"/>
        <v>-384.86428571428604</v>
      </c>
      <c r="P266" s="36">
        <f t="shared" ca="1" si="130"/>
        <v>-395.08426850334848</v>
      </c>
    </row>
    <row r="267" spans="3:16" hidden="1" outlineLevel="1" x14ac:dyDescent="0.25"/>
    <row r="268" spans="3:16" hidden="1" outlineLevel="1" x14ac:dyDescent="0.25"/>
    <row r="269" spans="3:16" hidden="1" collapsed="1" x14ac:dyDescent="0.25">
      <c r="E269" s="391"/>
    </row>
    <row r="270" spans="3:16" ht="22.5" hidden="1" outlineLevel="1" x14ac:dyDescent="0.35">
      <c r="C270" s="5" t="s">
        <v>208</v>
      </c>
    </row>
    <row r="271" spans="3:16" hidden="1" outlineLevel="1" x14ac:dyDescent="0.25">
      <c r="G271" s="9"/>
      <c r="H271" s="9"/>
      <c r="I271" s="9"/>
      <c r="J271" s="20" t="s">
        <v>38</v>
      </c>
      <c r="K271" s="708" t="s">
        <v>39</v>
      </c>
      <c r="L271" s="708"/>
      <c r="M271" s="708"/>
      <c r="N271" s="708"/>
      <c r="O271" s="708"/>
      <c r="P271" s="73" t="s">
        <v>104</v>
      </c>
    </row>
    <row r="272" spans="3:16" hidden="1" outlineLevel="1" x14ac:dyDescent="0.25">
      <c r="G272" s="13">
        <f t="shared" ref="G272:O272" ca="1" si="131">+G251</f>
        <v>2023</v>
      </c>
      <c r="H272" s="13">
        <f t="shared" ca="1" si="131"/>
        <v>2024</v>
      </c>
      <c r="I272" s="13">
        <f t="shared" ca="1" si="131"/>
        <v>2025</v>
      </c>
      <c r="J272" s="21">
        <f t="shared" ca="1" si="131"/>
        <v>2026</v>
      </c>
      <c r="K272" s="709">
        <f t="shared" ca="1" si="131"/>
        <v>2027</v>
      </c>
      <c r="L272" s="710">
        <f t="shared" ca="1" si="131"/>
        <v>2028</v>
      </c>
      <c r="M272" s="710">
        <f t="shared" ca="1" si="131"/>
        <v>2029</v>
      </c>
      <c r="N272" s="710">
        <f t="shared" ca="1" si="131"/>
        <v>2030</v>
      </c>
      <c r="O272" s="711">
        <f t="shared" ca="1" si="131"/>
        <v>2031</v>
      </c>
      <c r="P272" s="233">
        <f ca="1">+OFFSET(J272,,'2. Input_Allgemein'!$E$36)+1</f>
        <v>2032</v>
      </c>
    </row>
    <row r="273" spans="3:16" hidden="1" outlineLevel="1" x14ac:dyDescent="0.25">
      <c r="C273" s="2" t="s">
        <v>94</v>
      </c>
      <c r="G273" s="90"/>
      <c r="H273" s="90"/>
      <c r="I273" s="90"/>
      <c r="J273" s="90"/>
      <c r="K273" s="712">
        <f t="shared" ref="K273:P273" ca="1" si="132">+K93</f>
        <v>130.98617949999999</v>
      </c>
      <c r="L273" s="712">
        <f t="shared" ca="1" si="132"/>
        <v>117.77063136500007</v>
      </c>
      <c r="M273" s="712">
        <f t="shared" ca="1" si="132"/>
        <v>122.37416289130007</v>
      </c>
      <c r="N273" s="712">
        <f t="shared" ca="1" si="132"/>
        <v>127.38218325874109</v>
      </c>
      <c r="O273" s="712">
        <f t="shared" ca="1" si="132"/>
        <v>132.81821336915215</v>
      </c>
      <c r="P273" s="25">
        <f t="shared" ca="1" si="132"/>
        <v>136.86818358829404</v>
      </c>
    </row>
    <row r="274" spans="3:16" hidden="1" outlineLevel="1" x14ac:dyDescent="0.25">
      <c r="C274" s="67" t="s">
        <v>207</v>
      </c>
      <c r="G274" s="90"/>
      <c r="H274" s="90"/>
      <c r="I274" s="90"/>
      <c r="J274" s="90"/>
      <c r="K274" s="712">
        <f t="shared" ref="K274:P274" ca="1" si="133">+K170</f>
        <v>196.5885604523809</v>
      </c>
      <c r="L274" s="712">
        <f t="shared" ca="1" si="133"/>
        <v>203.33884565071435</v>
      </c>
      <c r="M274" s="712">
        <f t="shared" ca="1" si="133"/>
        <v>228.90650217701437</v>
      </c>
      <c r="N274" s="712">
        <f t="shared" ca="1" si="133"/>
        <v>255.92685379445538</v>
      </c>
      <c r="O274" s="712">
        <f t="shared" ca="1" si="133"/>
        <v>284.47583171736653</v>
      </c>
      <c r="P274" s="25">
        <f t="shared" ca="1" si="133"/>
        <v>298.35114412400833</v>
      </c>
    </row>
    <row r="275" spans="3:16" hidden="1" outlineLevel="1" x14ac:dyDescent="0.25">
      <c r="C275" s="70" t="s">
        <v>103</v>
      </c>
      <c r="G275" s="90"/>
      <c r="H275" s="90"/>
      <c r="I275" s="90"/>
      <c r="J275" s="90"/>
      <c r="K275" s="712">
        <f t="shared" ref="K275:O275" si="134">+K172</f>
        <v>-135.80000000000004</v>
      </c>
      <c r="L275" s="712">
        <f t="shared" si="134"/>
        <v>-142.59000000000003</v>
      </c>
      <c r="M275" s="712">
        <f t="shared" si="134"/>
        <v>-149.71950000000004</v>
      </c>
      <c r="N275" s="712">
        <f t="shared" si="134"/>
        <v>-157.20547500000006</v>
      </c>
      <c r="O275" s="712">
        <f t="shared" si="134"/>
        <v>-165.06574875000007</v>
      </c>
      <c r="P275" s="25">
        <f ca="1">+P172</f>
        <v>-167.54173498125004</v>
      </c>
    </row>
    <row r="276" spans="3:16" hidden="1" outlineLevel="1" x14ac:dyDescent="0.25">
      <c r="C276" s="70" t="s">
        <v>211</v>
      </c>
      <c r="G276" s="90"/>
      <c r="H276" s="90"/>
      <c r="I276" s="90"/>
      <c r="J276" s="90"/>
      <c r="K276" s="712">
        <f>+K125-J125+K126-J126+K127-J127</f>
        <v>0</v>
      </c>
      <c r="L276" s="712">
        <f>+L125-K125+L126-K126+L127-K127</f>
        <v>0</v>
      </c>
      <c r="M276" s="712">
        <f>+M125-L125+M126-L126+M127-L127</f>
        <v>0</v>
      </c>
      <c r="N276" s="712">
        <f>+N125-M125+N126-M126+N127-M127</f>
        <v>0</v>
      </c>
      <c r="O276" s="712">
        <f>+O125-N125+O126-N126+O127-N127</f>
        <v>0</v>
      </c>
      <c r="P276" s="25">
        <f ca="1">+P125-OFFSET(J125,,'2. Input_Allgemein'!$E$36)+P126-OFFSET(J126,,'2. Input_Allgemein'!$E$36)+P127-OFFSET(J127,,'2. Input_Allgemein'!$E$36)</f>
        <v>0.37499999999999645</v>
      </c>
    </row>
    <row r="277" spans="3:16" hidden="1" outlineLevel="1" x14ac:dyDescent="0.25">
      <c r="C277" s="70" t="s">
        <v>212</v>
      </c>
      <c r="G277" s="90"/>
      <c r="H277" s="90"/>
      <c r="I277" s="90"/>
      <c r="J277" s="90"/>
      <c r="K277" s="712">
        <f>+K154-J154+K143-J143</f>
        <v>100</v>
      </c>
      <c r="L277" s="712">
        <f>+L154-K154+L143-K143</f>
        <v>0</v>
      </c>
      <c r="M277" s="712">
        <f>+M154-L154+M143-L143</f>
        <v>0</v>
      </c>
      <c r="N277" s="712">
        <f>+N154-M154+N143-M143</f>
        <v>0</v>
      </c>
      <c r="O277" s="712">
        <f>+O154-N154+O143-N143</f>
        <v>0</v>
      </c>
      <c r="P277" s="25">
        <f ca="1">+P154-OFFSET(J154,,'2. Input_Allgemein'!$E$36)+P143-OFFSET(J143,,'2. Input_Allgemein'!$E$36)</f>
        <v>2.9999999999999716</v>
      </c>
    </row>
    <row r="278" spans="3:16" hidden="1" outlineLevel="1" x14ac:dyDescent="0.25">
      <c r="C278" s="235" t="s">
        <v>210</v>
      </c>
      <c r="D278" s="236"/>
      <c r="E278" s="693"/>
      <c r="F278" s="236"/>
      <c r="G278" s="237"/>
      <c r="H278" s="237"/>
      <c r="I278" s="237"/>
      <c r="J278" s="237"/>
      <c r="K278" s="721">
        <f t="shared" ref="K278" si="135">+K88*0</f>
        <v>0</v>
      </c>
      <c r="L278" s="721">
        <f ca="1">+L88*0</f>
        <v>0</v>
      </c>
      <c r="M278" s="721">
        <f ca="1">+M88*0</f>
        <v>0</v>
      </c>
      <c r="N278" s="721">
        <f ca="1">+N88*0</f>
        <v>0</v>
      </c>
      <c r="O278" s="721">
        <f ca="1">+O88*0</f>
        <v>0</v>
      </c>
      <c r="P278" s="238">
        <f ca="1">+P88*0</f>
        <v>0</v>
      </c>
    </row>
    <row r="279" spans="3:16" hidden="1" outlineLevel="1" x14ac:dyDescent="0.25">
      <c r="C279" s="35" t="s">
        <v>138</v>
      </c>
      <c r="D279" s="35"/>
      <c r="E279" s="389"/>
      <c r="F279" s="35"/>
      <c r="G279" s="90"/>
      <c r="H279" s="90"/>
      <c r="I279" s="90"/>
      <c r="J279" s="90"/>
      <c r="K279" s="712">
        <f t="shared" ref="K279:P279" ca="1" si="136">+SUM(K274:K278)</f>
        <v>160.78856045238086</v>
      </c>
      <c r="L279" s="712">
        <f t="shared" ca="1" si="136"/>
        <v>60.748845650714316</v>
      </c>
      <c r="M279" s="712">
        <f t="shared" ca="1" si="136"/>
        <v>79.187002177014335</v>
      </c>
      <c r="N279" s="712">
        <f t="shared" ca="1" si="136"/>
        <v>98.721378794455319</v>
      </c>
      <c r="O279" s="712">
        <f t="shared" ca="1" si="136"/>
        <v>119.41008296736646</v>
      </c>
      <c r="P279" s="36">
        <f t="shared" ca="1" si="136"/>
        <v>134.18440914275826</v>
      </c>
    </row>
    <row r="280" spans="3:16" hidden="1" outlineLevel="1" x14ac:dyDescent="0.25"/>
    <row r="281" spans="3:16" hidden="1" outlineLevel="1" x14ac:dyDescent="0.25">
      <c r="C281" s="8" t="s">
        <v>209</v>
      </c>
      <c r="D281" s="8"/>
      <c r="E281" s="489"/>
      <c r="F281" s="8"/>
      <c r="G281" s="90"/>
      <c r="H281" s="90"/>
      <c r="I281" s="90"/>
      <c r="J281" s="90"/>
      <c r="K281" s="713">
        <f t="shared" ref="K281:P281" ca="1" si="137">MAX(+MIN(K273,K279),0)</f>
        <v>130.98617949999999</v>
      </c>
      <c r="L281" s="713">
        <f t="shared" ca="1" si="137"/>
        <v>60.748845650714316</v>
      </c>
      <c r="M281" s="713">
        <f t="shared" ca="1" si="137"/>
        <v>79.187002177014335</v>
      </c>
      <c r="N281" s="713">
        <f t="shared" ca="1" si="137"/>
        <v>98.721378794455319</v>
      </c>
      <c r="O281" s="713">
        <f t="shared" ca="1" si="137"/>
        <v>119.41008296736646</v>
      </c>
      <c r="P281" s="27">
        <f t="shared" ca="1" si="137"/>
        <v>134.18440914275826</v>
      </c>
    </row>
    <row r="282" spans="3:16" hidden="1" collapsed="1" x14ac:dyDescent="0.25">
      <c r="K282" s="394"/>
      <c r="L282" s="394"/>
      <c r="M282" s="394"/>
      <c r="N282" s="394"/>
      <c r="O282" s="394"/>
      <c r="P282" s="61"/>
    </row>
    <row r="283" spans="3:16" ht="22.5" hidden="1" outlineLevel="1" x14ac:dyDescent="0.35">
      <c r="C283" s="5" t="s">
        <v>52</v>
      </c>
    </row>
    <row r="284" spans="3:16" hidden="1" outlineLevel="1" x14ac:dyDescent="0.25">
      <c r="G284" s="9"/>
      <c r="H284" s="9"/>
      <c r="I284" s="9"/>
      <c r="J284" s="20" t="s">
        <v>38</v>
      </c>
      <c r="K284" s="708" t="s">
        <v>39</v>
      </c>
      <c r="L284" s="708"/>
      <c r="M284" s="708"/>
      <c r="N284" s="708"/>
      <c r="O284" s="708"/>
      <c r="P284" s="73" t="s">
        <v>104</v>
      </c>
    </row>
    <row r="285" spans="3:16" hidden="1" outlineLevel="1" x14ac:dyDescent="0.25">
      <c r="G285" s="13">
        <f t="shared" ref="G285:O285" ca="1" si="138">+G272</f>
        <v>2023</v>
      </c>
      <c r="H285" s="13">
        <f t="shared" ca="1" si="138"/>
        <v>2024</v>
      </c>
      <c r="I285" s="13">
        <f t="shared" ca="1" si="138"/>
        <v>2025</v>
      </c>
      <c r="J285" s="21">
        <f t="shared" ca="1" si="138"/>
        <v>2026</v>
      </c>
      <c r="K285" s="709">
        <f t="shared" ca="1" si="138"/>
        <v>2027</v>
      </c>
      <c r="L285" s="710">
        <f t="shared" ca="1" si="138"/>
        <v>2028</v>
      </c>
      <c r="M285" s="710">
        <f t="shared" ca="1" si="138"/>
        <v>2029</v>
      </c>
      <c r="N285" s="710">
        <f t="shared" ca="1" si="138"/>
        <v>2030</v>
      </c>
      <c r="O285" s="711">
        <f t="shared" ca="1" si="138"/>
        <v>2031</v>
      </c>
      <c r="P285" s="233">
        <f ca="1">+OFFSET(J285,,'2. Input_Allgemein'!$E$36)+1</f>
        <v>2032</v>
      </c>
    </row>
    <row r="286" spans="3:16" hidden="1" outlineLevel="1" x14ac:dyDescent="0.25">
      <c r="C286" s="223" t="s">
        <v>515</v>
      </c>
      <c r="D286" s="19" t="s">
        <v>37</v>
      </c>
      <c r="G286" s="225">
        <f t="shared" ref="G286:J286" si="139">+G73</f>
        <v>139.11666666666662</v>
      </c>
      <c r="H286" s="225">
        <f t="shared" si="139"/>
        <v>139.11666666666662</v>
      </c>
      <c r="I286" s="225">
        <f t="shared" si="139"/>
        <v>198.73333333333335</v>
      </c>
      <c r="J286" s="225">
        <f t="shared" si="139"/>
        <v>206.03333333333342</v>
      </c>
      <c r="K286" s="712">
        <f t="shared" ref="K286:P286" ca="1" si="140">+K73</f>
        <v>187.11495238095236</v>
      </c>
      <c r="L286" s="712">
        <f t="shared" ca="1" si="140"/>
        <v>192.98409904761914</v>
      </c>
      <c r="M286" s="712">
        <f t="shared" ca="1" si="140"/>
        <v>199.38455998095247</v>
      </c>
      <c r="N286" s="712">
        <f t="shared" ca="1" si="140"/>
        <v>206.34739677961917</v>
      </c>
      <c r="O286" s="712">
        <f t="shared" ca="1" si="140"/>
        <v>213.90531142739263</v>
      </c>
      <c r="P286" s="25">
        <f t="shared" ca="1" si="140"/>
        <v>219.53613550683917</v>
      </c>
    </row>
    <row r="287" spans="3:16" hidden="1" outlineLevel="1" x14ac:dyDescent="0.25">
      <c r="C287" s="223" t="s">
        <v>197</v>
      </c>
      <c r="D287" s="19" t="s">
        <v>37</v>
      </c>
      <c r="G287" s="225">
        <f t="shared" ref="G287:K287" si="141">+G87</f>
        <v>0</v>
      </c>
      <c r="H287" s="225">
        <f t="shared" si="141"/>
        <v>0</v>
      </c>
      <c r="I287" s="225">
        <f t="shared" si="141"/>
        <v>0</v>
      </c>
      <c r="J287" s="225">
        <f t="shared" si="141"/>
        <v>0</v>
      </c>
      <c r="K287" s="712">
        <f t="shared" si="141"/>
        <v>0</v>
      </c>
      <c r="L287" s="712">
        <f ca="1">+L87</f>
        <v>0</v>
      </c>
      <c r="M287" s="712">
        <f ca="1">+M87</f>
        <v>0</v>
      </c>
      <c r="N287" s="712">
        <f ca="1">+N87</f>
        <v>0</v>
      </c>
      <c r="O287" s="712">
        <f ca="1">+O87</f>
        <v>0</v>
      </c>
      <c r="P287" s="25">
        <f ca="1">+P87</f>
        <v>0</v>
      </c>
    </row>
    <row r="288" spans="3:16" hidden="1" outlineLevel="1" x14ac:dyDescent="0.25">
      <c r="C288" s="224" t="s">
        <v>516</v>
      </c>
      <c r="D288" s="40" t="s">
        <v>37</v>
      </c>
      <c r="E288" s="644"/>
      <c r="F288" s="120"/>
      <c r="G288" s="225">
        <f t="shared" ref="G288:J288" si="142">+G286+G287</f>
        <v>139.11666666666662</v>
      </c>
      <c r="H288" s="225">
        <f t="shared" si="142"/>
        <v>139.11666666666662</v>
      </c>
      <c r="I288" s="225">
        <f t="shared" si="142"/>
        <v>198.73333333333335</v>
      </c>
      <c r="J288" s="225">
        <f t="shared" si="142"/>
        <v>206.03333333333342</v>
      </c>
      <c r="K288" s="712">
        <f t="shared" ref="K288:P288" ca="1" si="143">+K286+K287</f>
        <v>187.11495238095236</v>
      </c>
      <c r="L288" s="712">
        <f t="shared" ca="1" si="143"/>
        <v>192.98409904761914</v>
      </c>
      <c r="M288" s="712">
        <f t="shared" ca="1" si="143"/>
        <v>199.38455998095247</v>
      </c>
      <c r="N288" s="712">
        <f t="shared" ca="1" si="143"/>
        <v>206.34739677961917</v>
      </c>
      <c r="O288" s="712">
        <f t="shared" ca="1" si="143"/>
        <v>213.90531142739263</v>
      </c>
      <c r="P288" s="25">
        <f t="shared" ca="1" si="143"/>
        <v>219.53613550683917</v>
      </c>
    </row>
    <row r="289" spans="1:16" hidden="1" outlineLevel="1" x14ac:dyDescent="0.25">
      <c r="C289" s="67" t="s">
        <v>213</v>
      </c>
      <c r="D289" s="19" t="s">
        <v>37</v>
      </c>
      <c r="G289" s="225">
        <f t="shared" ref="G289:K289" si="144">+G88</f>
        <v>-2.3166666666666669</v>
      </c>
      <c r="H289" s="225">
        <f t="shared" si="144"/>
        <v>-2.3166666666666669</v>
      </c>
      <c r="I289" s="225">
        <f t="shared" si="144"/>
        <v>-3.1333333333333337</v>
      </c>
      <c r="J289" s="225">
        <f t="shared" si="144"/>
        <v>-3.2333333333333338</v>
      </c>
      <c r="K289" s="712">
        <f t="shared" si="144"/>
        <v>-5</v>
      </c>
      <c r="L289" s="712">
        <f ca="1">+L88</f>
        <v>-29.243214285714295</v>
      </c>
      <c r="M289" s="712">
        <f ca="1">+M88</f>
        <v>-29.243214285714295</v>
      </c>
      <c r="N289" s="712">
        <f ca="1">+N88</f>
        <v>-29.243214285714295</v>
      </c>
      <c r="O289" s="712">
        <f ca="1">+O88</f>
        <v>-29.243214285714295</v>
      </c>
      <c r="P289" s="25">
        <f ca="1">+P88</f>
        <v>-29.243214285714306</v>
      </c>
    </row>
    <row r="290" spans="1:16" hidden="1" outlineLevel="1" x14ac:dyDescent="0.25">
      <c r="C290" s="35" t="s">
        <v>359</v>
      </c>
      <c r="D290" s="40" t="s">
        <v>37</v>
      </c>
      <c r="E290" s="644"/>
      <c r="F290" s="120"/>
      <c r="G290" s="225">
        <f t="shared" ref="G290:P290" si="145">+G288+G289</f>
        <v>136.79999999999995</v>
      </c>
      <c r="H290" s="225">
        <f t="shared" si="145"/>
        <v>136.79999999999995</v>
      </c>
      <c r="I290" s="225">
        <f t="shared" si="145"/>
        <v>195.60000000000002</v>
      </c>
      <c r="J290" s="225">
        <f t="shared" si="145"/>
        <v>202.8000000000001</v>
      </c>
      <c r="K290" s="712">
        <f t="shared" ca="1" si="145"/>
        <v>182.11495238095236</v>
      </c>
      <c r="L290" s="712">
        <f t="shared" ca="1" si="145"/>
        <v>163.74088476190485</v>
      </c>
      <c r="M290" s="712">
        <f t="shared" ca="1" si="145"/>
        <v>170.14134569523819</v>
      </c>
      <c r="N290" s="712">
        <f t="shared" ca="1" si="145"/>
        <v>177.10418249390489</v>
      </c>
      <c r="O290" s="712">
        <f t="shared" ca="1" si="145"/>
        <v>184.66209714167834</v>
      </c>
      <c r="P290" s="25">
        <f t="shared" ca="1" si="145"/>
        <v>190.29292122112486</v>
      </c>
    </row>
    <row r="291" spans="1:16" hidden="1" outlineLevel="1" x14ac:dyDescent="0.25"/>
    <row r="292" spans="1:16" hidden="1" outlineLevel="1" x14ac:dyDescent="0.25">
      <c r="C292" s="2" t="s">
        <v>523</v>
      </c>
      <c r="D292" s="19" t="s">
        <v>37</v>
      </c>
      <c r="G292" s="86"/>
      <c r="H292" s="225">
        <f>+G295</f>
        <v>50</v>
      </c>
      <c r="I292" s="225">
        <f t="shared" ref="I292:K292" si="146">+H295</f>
        <v>0</v>
      </c>
      <c r="J292" s="225">
        <f t="shared" si="146"/>
        <v>0</v>
      </c>
      <c r="K292" s="712">
        <f t="shared" si="146"/>
        <v>0</v>
      </c>
      <c r="L292" s="712">
        <f ca="1">+K295</f>
        <v>0</v>
      </c>
      <c r="M292" s="712">
        <f ca="1">+L295</f>
        <v>0</v>
      </c>
      <c r="N292" s="712">
        <f ca="1">+M295</f>
        <v>0</v>
      </c>
      <c r="O292" s="712">
        <f ca="1">+N295</f>
        <v>0</v>
      </c>
      <c r="P292" s="25">
        <f ca="1">+OFFSET(J295,,'2. Input_Allgemein'!$E$36)</f>
        <v>0</v>
      </c>
    </row>
    <row r="293" spans="1:16" hidden="1" outlineLevel="1" x14ac:dyDescent="0.25">
      <c r="C293" s="2" t="s">
        <v>517</v>
      </c>
      <c r="D293" s="226">
        <v>1000</v>
      </c>
      <c r="G293" s="86"/>
      <c r="H293" s="225">
        <f>IF(AND(H292&gt;0,H290&gt;0),+MAX(-$D$293,-H290,-H292),0)</f>
        <v>-50</v>
      </c>
      <c r="I293" s="225">
        <f>IF(AND(I292&gt;0,I290&gt;0),+MAX(-$D$293,-I290,-I292),0)</f>
        <v>0</v>
      </c>
      <c r="J293" s="225">
        <f>IF(AND(J292&gt;0,J290&gt;0),+MAX(-$D$293,-J290,-J292),0)</f>
        <v>0</v>
      </c>
      <c r="K293" s="712">
        <f t="shared" ref="K293:P293" ca="1" si="147">IF(AND(K292&lt;0,K290&gt;0),+MAX(-$D$293,-K290,-K292),0)</f>
        <v>0</v>
      </c>
      <c r="L293" s="712">
        <f t="shared" ca="1" si="147"/>
        <v>0</v>
      </c>
      <c r="M293" s="712">
        <f t="shared" ca="1" si="147"/>
        <v>0</v>
      </c>
      <c r="N293" s="712">
        <f t="shared" ca="1" si="147"/>
        <v>0</v>
      </c>
      <c r="O293" s="712">
        <f t="shared" ca="1" si="147"/>
        <v>0</v>
      </c>
      <c r="P293" s="25">
        <f t="shared" ca="1" si="147"/>
        <v>0</v>
      </c>
    </row>
    <row r="294" spans="1:16" hidden="1" outlineLevel="1" x14ac:dyDescent="0.25">
      <c r="C294" s="2" t="s">
        <v>518</v>
      </c>
      <c r="D294" s="227">
        <v>0.6</v>
      </c>
      <c r="G294" s="86"/>
      <c r="H294" s="225">
        <f t="shared" ref="H294:J294" si="148">+IF(AND(SUM(H292:H293)&gt;0,H290&gt;0),MAX((-H290-H293)*$D$294,-SUM(H292:H293)),0)</f>
        <v>0</v>
      </c>
      <c r="I294" s="225">
        <f t="shared" si="148"/>
        <v>0</v>
      </c>
      <c r="J294" s="225">
        <f t="shared" si="148"/>
        <v>0</v>
      </c>
      <c r="K294" s="712">
        <f t="shared" ref="K294:P294" ca="1" si="149">+IF(AND(SUM(K292:K293)&gt;0,K290&gt;0),MAX((-K290-K293)*$D$294,-SUM(K292:K293)),0)</f>
        <v>0</v>
      </c>
      <c r="L294" s="712">
        <f t="shared" ca="1" si="149"/>
        <v>0</v>
      </c>
      <c r="M294" s="712">
        <f t="shared" ca="1" si="149"/>
        <v>0</v>
      </c>
      <c r="N294" s="712">
        <f t="shared" ca="1" si="149"/>
        <v>0</v>
      </c>
      <c r="O294" s="712">
        <f t="shared" ca="1" si="149"/>
        <v>0</v>
      </c>
      <c r="P294" s="25">
        <f t="shared" ca="1" si="149"/>
        <v>0</v>
      </c>
    </row>
    <row r="295" spans="1:16" hidden="1" outlineLevel="1" x14ac:dyDescent="0.25">
      <c r="C295" s="2" t="s">
        <v>524</v>
      </c>
      <c r="F295" s="61"/>
      <c r="G295" s="25">
        <f>-'3. Input_Historie'!G97</f>
        <v>50</v>
      </c>
      <c r="H295" s="225">
        <f>+H292+H293+H294</f>
        <v>0</v>
      </c>
      <c r="I295" s="225">
        <f t="shared" ref="I295:J295" si="150">+I292+I293+I294</f>
        <v>0</v>
      </c>
      <c r="J295" s="225">
        <f t="shared" si="150"/>
        <v>0</v>
      </c>
      <c r="K295" s="712">
        <f t="shared" ref="K295:P295" ca="1" si="151">+K292+K293+K294</f>
        <v>0</v>
      </c>
      <c r="L295" s="712">
        <f t="shared" ca="1" si="151"/>
        <v>0</v>
      </c>
      <c r="M295" s="712">
        <f t="shared" ca="1" si="151"/>
        <v>0</v>
      </c>
      <c r="N295" s="712">
        <f t="shared" ca="1" si="151"/>
        <v>0</v>
      </c>
      <c r="O295" s="712">
        <f t="shared" ca="1" si="151"/>
        <v>0</v>
      </c>
      <c r="P295" s="25">
        <f t="shared" ca="1" si="151"/>
        <v>0</v>
      </c>
    </row>
    <row r="296" spans="1:16" hidden="1" outlineLevel="1" x14ac:dyDescent="0.25">
      <c r="F296" s="61"/>
    </row>
    <row r="297" spans="1:16" hidden="1" outlineLevel="1" x14ac:dyDescent="0.25">
      <c r="C297" s="2" t="s">
        <v>525</v>
      </c>
      <c r="D297" s="19" t="s">
        <v>37</v>
      </c>
      <c r="F297" s="61"/>
      <c r="G297" s="86"/>
      <c r="H297" s="225">
        <f t="shared" ref="H297:J297" si="152">+H290+H293+H294</f>
        <v>86.799999999999955</v>
      </c>
      <c r="I297" s="225">
        <f t="shared" si="152"/>
        <v>195.60000000000002</v>
      </c>
      <c r="J297" s="225">
        <f t="shared" si="152"/>
        <v>202.8000000000001</v>
      </c>
      <c r="K297" s="712">
        <f t="shared" ref="K297:P297" ca="1" si="153">+K290+K293+K294</f>
        <v>182.11495238095236</v>
      </c>
      <c r="L297" s="712">
        <f t="shared" ca="1" si="153"/>
        <v>163.74088476190485</v>
      </c>
      <c r="M297" s="712">
        <f t="shared" ca="1" si="153"/>
        <v>170.14134569523819</v>
      </c>
      <c r="N297" s="712">
        <f t="shared" ca="1" si="153"/>
        <v>177.10418249390489</v>
      </c>
      <c r="O297" s="712">
        <f t="shared" ca="1" si="153"/>
        <v>184.66209714167834</v>
      </c>
      <c r="P297" s="25">
        <f t="shared" ca="1" si="153"/>
        <v>190.29292122112486</v>
      </c>
    </row>
    <row r="298" spans="1:16" hidden="1" outlineLevel="1" x14ac:dyDescent="0.25"/>
    <row r="299" spans="1:16" hidden="1" outlineLevel="1" x14ac:dyDescent="0.25">
      <c r="C299" s="8" t="s">
        <v>526</v>
      </c>
      <c r="D299" s="19" t="s">
        <v>37</v>
      </c>
      <c r="E299" s="489"/>
      <c r="F299" s="24"/>
      <c r="G299" s="27">
        <f>-G92</f>
        <v>30</v>
      </c>
      <c r="H299" s="228">
        <f t="shared" ref="H299:J299" si="154">+H297*($E$45)</f>
        <v>24.369099999999989</v>
      </c>
      <c r="I299" s="228">
        <f t="shared" si="154"/>
        <v>54.914700000000003</v>
      </c>
      <c r="J299" s="228">
        <f t="shared" si="154"/>
        <v>56.936100000000025</v>
      </c>
      <c r="K299" s="713">
        <f t="shared" ref="K299:P299" ca="1" si="155">+K297*($E$45)</f>
        <v>51.128772880952376</v>
      </c>
      <c r="L299" s="713">
        <f t="shared" ca="1" si="155"/>
        <v>45.970253396904788</v>
      </c>
      <c r="M299" s="713">
        <f t="shared" ca="1" si="155"/>
        <v>47.76718280393812</v>
      </c>
      <c r="N299" s="713">
        <f t="shared" ca="1" si="155"/>
        <v>49.7219992351638</v>
      </c>
      <c r="O299" s="713">
        <f t="shared" ca="1" si="155"/>
        <v>51.843883772526198</v>
      </c>
      <c r="P299" s="27">
        <f t="shared" ca="1" si="155"/>
        <v>53.424737632830805</v>
      </c>
    </row>
    <row r="300" spans="1:16" hidden="1" collapsed="1" x14ac:dyDescent="0.25"/>
    <row r="301" spans="1:16" s="197" customFormat="1" ht="15" customHeight="1" x14ac:dyDescent="0.25">
      <c r="A301" s="197" t="s">
        <v>410</v>
      </c>
      <c r="E301" s="561"/>
      <c r="K301" s="561"/>
      <c r="L301" s="561"/>
      <c r="M301" s="561"/>
      <c r="N301" s="561"/>
      <c r="O301" s="561"/>
    </row>
  </sheetData>
  <sheetProtection algorithmName="SHA-512" hashValue="i0U3Iaz2tURZcr6tLIiQ+ZIHM7owIkFbZF1KatHM5lFIu12tJc2cHtZNF+J1ZfH7a+xh5bo829FTItHdTJPHOA==" saltValue="gb7CgxZrf/AjOfM6GjutZA==" spinCount="100000" sheet="1" objects="1" scenarios="1"/>
  <mergeCells count="2">
    <mergeCell ref="G13:H13"/>
    <mergeCell ref="G14:H14"/>
  </mergeCells>
  <conditionalFormatting sqref="G13:G14">
    <cfRule type="containsText" dxfId="26" priority="1" operator="containsText" text="OK">
      <formula>NOT(ISERROR(SEARCH("OK",G13)))</formula>
    </cfRule>
    <cfRule type="containsText" dxfId="25" priority="2" operator="containsText" text="CHECK">
      <formula>NOT(ISERROR(SEARCH("CHECK",G13)))</formula>
    </cfRule>
  </conditionalFormatting>
  <conditionalFormatting sqref="G161:P161">
    <cfRule type="containsText" dxfId="24" priority="87" operator="containsText" text="OK">
      <formula>NOT(ISERROR(SEARCH("OK",G161)))</formula>
    </cfRule>
    <cfRule type="containsText" dxfId="23" priority="88" operator="containsText" text="CHECK">
      <formula>NOT(ISERROR(SEARCH("CHECK",G161)))</formula>
    </cfRule>
  </conditionalFormatting>
  <conditionalFormatting sqref="H161:O161">
    <cfRule type="containsText" dxfId="22" priority="89" operator="containsText" text="OK">
      <formula>NOT(ISERROR(SEARCH("OK",H161)))</formula>
    </cfRule>
    <cfRule type="containsText" dxfId="21" priority="90" operator="containsText" text="CHECK">
      <formula>NOT(ISERROR(SEARCH("CHECK",H161)))</formula>
    </cfRule>
  </conditionalFormatting>
  <conditionalFormatting sqref="P161">
    <cfRule type="containsText" dxfId="19" priority="85" operator="containsText" text="OK">
      <formula>NOT(ISERROR(SEARCH("OK",P161)))</formula>
    </cfRule>
    <cfRule type="containsText" dxfId="18" priority="86" operator="containsText" text="CHECK">
      <formula>NOT(ISERROR(SEARCH("CHECK",P161)))</formula>
    </cfRule>
  </conditionalFormatting>
  <hyperlinks>
    <hyperlink ref="C18" location="'4. Input_Plan'!A59" display="GuV" xr:uid="{70769B9F-63C7-44AE-A430-977293A7103A}"/>
    <hyperlink ref="C17" location="'4. Input_Plan'!A22" display="Allgemeine Plannahmen" xr:uid="{6F9FBB7B-244A-4A62-90C4-D6453C6A7B97}"/>
    <hyperlink ref="C11" location="'3. Input_Historie'!A26" display="GuV" xr:uid="{A84321E1-18FF-4DDD-9A8F-55CBCDD347CC}"/>
    <hyperlink ref="C7" location="'2. Input_Allgemein'!A24" display="Unternehmensinformationen" xr:uid="{780C32BB-7D82-4F55-8E99-DAE1487337CE}"/>
    <hyperlink ref="C8" location="'2. Input_Allgemein'!A37" display="Risikofaktoren" xr:uid="{C9E012DC-A4C5-4E05-80E0-4D1156D5A882}"/>
    <hyperlink ref="C12" location="'3. Input_Historie'!A67" display="Bilanz" xr:uid="{82A6010A-B8D1-419F-B021-8246C6AEA562}"/>
    <hyperlink ref="C13" location="'3. Input_Historie'!A129" display="Bilanz Check" xr:uid="{91F462ED-9BEB-4109-B125-D48FF3482CA2}"/>
    <hyperlink ref="C14" location="'3. Input_Historie'!A154" display="Cashflow Rechnung" xr:uid="{D0AD2B88-CB0D-45F8-B304-3C5102039AB0}"/>
  </hyperlinks>
  <pageMargins left="0.7" right="0.7" top="0.78740157499999996" bottom="0.78740157499999996" header="0.3" footer="0.3"/>
  <pageSetup paperSize="9" scale="51"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92" id="{00000000-000E-0000-0800-000036000000}">
            <xm:f>K$57&gt;'2. Input_Allgemein'!$E$38</xm:f>
            <x14:dxf>
              <font>
                <color theme="1" tint="0.499984740745262"/>
              </font>
              <fill>
                <patternFill patternType="lightTrellis">
                  <bgColor theme="2" tint="-9.9948118533890809E-2"/>
                </patternFill>
              </fill>
            </x14:dxf>
          </x14:cfRule>
          <xm:sqref>K58:O58 N60:O60 K61:O61 K65:O69 K72:O73 K76:O84 K87:O89 K92:O93 K100:O105 K107:O108 K110:O115 K117:O117 K119:O119 K121:O121 K125:O132 K134:O138 K140:O143 K145:O148 K150:O154 K156:O156 K158:O158 K167:O170 K172:O174 K176:O180 K182:O184 K191:O192 K194:O199 K201:O207 K209:O213 K215:O216 K223:O224 K227:O228 K230:O230 K252:O252 K254:O254 K256:O256 K258:O260 K262:O262 K264:O264 K266:O266 K273:O277 K279:O279 K281:O281 K286:O290 K292:O295 K297:O297 K299:O299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9FFDEDA6-DACC-4C66-B418-CEF7BA93C869}">
          <x14:formula1>
            <xm:f>Technical!$B$62:$B$67</xm:f>
          </x14:formula1>
          <xm:sqref>E50</xm:sqref>
        </x14:dataValidation>
      </x14:dataValidations>
    </ext>
  </extLst>
</worksheet>
</file>

<file path=docMetadata/LabelInfo.xml><?xml version="1.0" encoding="utf-8"?>
<clbl:labelList xmlns:clbl="http://schemas.microsoft.com/office/2020/mipLabelMetadata">
  <clbl:label id="{1ff767a1-8a2e-4c6a-b3f9-fa1401ea9cb5}" enabled="0" method="" siteId="{1ff767a1-8a2e-4c6a-b3f9-fa1401ea9cb5}"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6</vt:i4>
      </vt:variant>
    </vt:vector>
  </HeadingPairs>
  <TitlesOfParts>
    <vt:vector size="22" baseType="lpstr">
      <vt:lpstr>Einfache U'Bewertung &gt;</vt:lpstr>
      <vt:lpstr>1. Annahmen</vt:lpstr>
      <vt:lpstr>2. Vereinfachtes_EWV</vt:lpstr>
      <vt:lpstr>3. Management Summary</vt:lpstr>
      <vt:lpstr>Erweiterte U'Bewertung &gt;</vt:lpstr>
      <vt:lpstr>1. Datencheck</vt:lpstr>
      <vt:lpstr>2. Input_Allgemein</vt:lpstr>
      <vt:lpstr>3. Input_Historie</vt:lpstr>
      <vt:lpstr>4. Input_Plan</vt:lpstr>
      <vt:lpstr>Slides</vt:lpstr>
      <vt:lpstr>Ergebnis</vt:lpstr>
      <vt:lpstr>(AUSBLENDEN) Kalkulation &gt;</vt:lpstr>
      <vt:lpstr>(AUSBLENDEN) Bewertung</vt:lpstr>
      <vt:lpstr>(AUSBLENDEN) Plausibilisierung</vt:lpstr>
      <vt:lpstr>Technical</vt:lpstr>
      <vt:lpstr>1. Datencheck FULL</vt:lpstr>
      <vt:lpstr>'1. Annahmen'!Druckbereich</vt:lpstr>
      <vt:lpstr>'2. Input_Allgemein'!Druckbereich</vt:lpstr>
      <vt:lpstr>'2. Vereinfachtes_EWV'!Druckbereich</vt:lpstr>
      <vt:lpstr>'3. Input_Historie'!Druckbereich</vt:lpstr>
      <vt:lpstr>'3. Management Summary'!Druckbereich</vt:lpstr>
      <vt:lpstr>'4. Input_Plan'!Druckbereich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Hamoon Fatah</dc:creator>
  <cp:lastModifiedBy>Fatah, Hamoon</cp:lastModifiedBy>
  <cp:lastPrinted>2026-08-03T13:05:41Z</cp:lastPrinted>
  <dcterms:created xsi:type="dcterms:W3CDTF">2025-02-10T15:07:31Z</dcterms:created>
  <dcterms:modified xsi:type="dcterms:W3CDTF">2026-08-24T19:01:46Z</dcterms:modified>
</cp:coreProperties>
</file>